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390" windowWidth="15480" windowHeight="9120" firstSheet="1" activeTab="2"/>
  </bookViews>
  <sheets>
    <sheet name="T" sheetId="1" state="hidden" r:id="rId1"/>
    <sheet name="Settings" sheetId="2" r:id="rId2"/>
    <sheet name="2011 Cricket World Cup" sheetId="3" r:id="rId3"/>
  </sheets>
  <definedNames>
    <definedName name="gmt_delta">'Settings'!$C$14</definedName>
    <definedName name="lang">'Settings'!$C$13</definedName>
    <definedName name="_xlnm.Print_Area" localSheetId="2">'2011 Cricket World Cup'!$A$1:$Y$68</definedName>
    <definedName name="T">'T'!$A:$XFD</definedName>
  </definedNames>
  <calcPr fullCalcOnLoad="1"/>
</workbook>
</file>

<file path=xl/sharedStrings.xml><?xml version="1.0" encoding="utf-8"?>
<sst xmlns="http://schemas.openxmlformats.org/spreadsheetml/2006/main" count="231" uniqueCount="124">
  <si>
    <t>First Round</t>
  </si>
  <si>
    <t>Australia</t>
  </si>
  <si>
    <t>Canada</t>
  </si>
  <si>
    <t>Kenya</t>
  </si>
  <si>
    <t>New Zealand</t>
  </si>
  <si>
    <t>Pakistan</t>
  </si>
  <si>
    <t>Sri Lanka</t>
  </si>
  <si>
    <t>Zimbabwe</t>
  </si>
  <si>
    <t>English</t>
  </si>
  <si>
    <t>M. A. Chidambaram Stadium, Chennai</t>
  </si>
  <si>
    <t>Hambantota International Cricket Stadium, Hambantota</t>
  </si>
  <si>
    <t>Sardar Patel Stadium, Ahmedabad</t>
  </si>
  <si>
    <t>Vidarbha Cricket Association Stadium, Nagpur</t>
  </si>
  <si>
    <t>R. Premadasa Stadium, Colombo</t>
  </si>
  <si>
    <t>Feroz Shah Kotla, Delhi</t>
  </si>
  <si>
    <t>Pallekele International Cricket Stadium, Kandy</t>
  </si>
  <si>
    <t>Wankhede Stadium, Mumbai</t>
  </si>
  <si>
    <t>M. Chinnaswamy Stadium, Bengaluru</t>
  </si>
  <si>
    <t>Eden Gardens, Kolkata</t>
  </si>
  <si>
    <t>Bangladesh</t>
  </si>
  <si>
    <t>England</t>
  </si>
  <si>
    <t>India</t>
  </si>
  <si>
    <t>Ireland</t>
  </si>
  <si>
    <t>Netherlands</t>
  </si>
  <si>
    <t>South Africa</t>
  </si>
  <si>
    <t>West Indies</t>
  </si>
  <si>
    <t>Sher-e-Bangla Cricket Stadium, Dhaka</t>
  </si>
  <si>
    <t>Feroz Shah Kotla, New Delhi</t>
  </si>
  <si>
    <t>M. Chinnaswamy Stadium, Bangalore</t>
  </si>
  <si>
    <t>Punjab Cricket Association Stadium, Mohali</t>
  </si>
  <si>
    <t>Chittagong Divisional Stadium, Chittagong</t>
  </si>
  <si>
    <t>Final</t>
  </si>
  <si>
    <t>Team</t>
  </si>
  <si>
    <t>Pld</t>
  </si>
  <si>
    <t>W</t>
  </si>
  <si>
    <t>T</t>
  </si>
  <si>
    <t>L</t>
  </si>
  <si>
    <t>NRR</t>
  </si>
  <si>
    <t>Pts</t>
  </si>
  <si>
    <t>Runs</t>
  </si>
  <si>
    <t>Overs</t>
  </si>
  <si>
    <t>Rank</t>
  </si>
  <si>
    <t>Place</t>
  </si>
  <si>
    <t>2011 Cricket World Cup Tournament Schedule</t>
  </si>
  <si>
    <t>Dhaka</t>
  </si>
  <si>
    <t>Chennai</t>
  </si>
  <si>
    <t>Hambantota</t>
  </si>
  <si>
    <t>Ahmedabad</t>
  </si>
  <si>
    <t>Nagpur</t>
  </si>
  <si>
    <t>New Delhi</t>
  </si>
  <si>
    <t>Colombo</t>
  </si>
  <si>
    <t>Kolkata</t>
  </si>
  <si>
    <t>Bangalore</t>
  </si>
  <si>
    <t>Mohali</t>
  </si>
  <si>
    <t>Delhi</t>
  </si>
  <si>
    <t>Kandy</t>
  </si>
  <si>
    <t>Chittagong</t>
  </si>
  <si>
    <t>Mumbai</t>
  </si>
  <si>
    <t>Bengaluru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</si>
  <si>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</si>
  <si>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</si>
  <si>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</si>
  <si>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</si>
  <si>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</si>
  <si>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</si>
  <si>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</si>
  <si>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</si>
  <si>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</si>
  <si>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</si>
  <si>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</si>
  <si>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</si>
  <si>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</t>
  </si>
  <si>
    <t>Tue</t>
  </si>
  <si>
    <t>Wed</t>
  </si>
  <si>
    <t>Thu</t>
  </si>
  <si>
    <t>Fri</t>
  </si>
  <si>
    <t>Sat</t>
  </si>
  <si>
    <t>Sun</t>
  </si>
  <si>
    <t>Settings</t>
  </si>
  <si>
    <t>Language</t>
  </si>
  <si>
    <t>Summer Time</t>
  </si>
  <si>
    <t>No</t>
  </si>
  <si>
    <t>GTM-Time</t>
  </si>
  <si>
    <t>GMT + 2:00</t>
  </si>
  <si>
    <t>Minutes</t>
  </si>
  <si>
    <t>+0 min</t>
  </si>
  <si>
    <t>Language ID</t>
  </si>
  <si>
    <t>GMT Delta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</si>
  <si>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</si>
  <si>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</si>
  <si>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</si>
  <si>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</si>
  <si>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</si>
  <si>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</si>
  <si>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</si>
  <si>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</si>
  <si>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</si>
  <si>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</si>
  <si>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</si>
  <si>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</t>
  </si>
  <si>
    <t>GMT + 1:00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</si>
  <si>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</si>
  <si>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</si>
  <si>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</si>
  <si>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</si>
  <si>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</si>
  <si>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</si>
  <si>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</si>
  <si>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</si>
  <si>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</si>
  <si>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</si>
  <si>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</si>
  <si>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</si>
  <si>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</si>
  <si>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Quarter-Finals</t>
  </si>
  <si>
    <t>Semi-Finals</t>
  </si>
  <si>
    <t>Group</t>
  </si>
  <si>
    <t>Winner of Match</t>
  </si>
  <si>
    <t>won by</t>
  </si>
  <si>
    <t>No result</t>
  </si>
  <si>
    <t>Language: English</t>
  </si>
  <si>
    <t>Innings</t>
  </si>
  <si>
    <t>Wickets</t>
  </si>
  <si>
    <t>&lt;--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</si>
</sst>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409]dddd\,\ mmmm\ dd\,\ yyyy"/>
    <numFmt numFmtId="181" formatCode="[$-409]d\-mmm\-yy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mm\-yyyy"/>
    <numFmt numFmtId="187" formatCode="0.000"/>
    <numFmt numFmtId="188" formatCode="0.0000"/>
    <numFmt numFmtId="189" formatCode="m/d/yy\ h:mm;@"/>
    <numFmt numFmtId="190" formatCode="d/mmm/yy\ h:mm;@"/>
    <numFmt numFmtId="191" formatCode="[$-409]d\-mmm\-yyyy;@"/>
    <numFmt numFmtId="192" formatCode=";;;"/>
    <numFmt numFmtId="193" formatCode="hh:mm"/>
  </numFmts>
  <fonts count="45">
    <font>
      <sz val="8"/>
      <color theme="1"/>
      <name val="Calibri"/>
      <family val="2"/>
    </font>
    <font>
      <sz val="8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9"/>
      <name val="Calibri"/>
      <family val="2"/>
    </font>
    <font>
      <sz val="20"/>
      <color indexed="10"/>
      <name val="Bodoni MT Black"/>
      <family val="1"/>
    </font>
    <font>
      <sz val="8"/>
      <color indexed="9"/>
      <name val="Calibri"/>
      <family val="2"/>
    </font>
    <font>
      <sz val="8"/>
      <color indexed="20"/>
      <name val="Calibri"/>
      <family val="2"/>
    </font>
    <font>
      <b/>
      <sz val="8"/>
      <color indexed="52"/>
      <name val="Calibri"/>
      <family val="2"/>
    </font>
    <font>
      <i/>
      <sz val="8"/>
      <color indexed="23"/>
      <name val="Calibri"/>
      <family val="2"/>
    </font>
    <font>
      <u val="single"/>
      <sz val="8"/>
      <color indexed="20"/>
      <name val="Calibri"/>
      <family val="2"/>
    </font>
    <font>
      <sz val="8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8"/>
      <color indexed="62"/>
      <name val="Calibri"/>
      <family val="2"/>
    </font>
    <font>
      <sz val="8"/>
      <color indexed="52"/>
      <name val="Calibri"/>
      <family val="2"/>
    </font>
    <font>
      <sz val="8"/>
      <color indexed="60"/>
      <name val="Calibri"/>
      <family val="2"/>
    </font>
    <font>
      <b/>
      <sz val="8"/>
      <color indexed="63"/>
      <name val="Calibri"/>
      <family val="2"/>
    </font>
    <font>
      <b/>
      <sz val="18"/>
      <color indexed="56"/>
      <name val="Cambria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8"/>
      <color theme="0"/>
      <name val="Calibri"/>
      <family val="2"/>
    </font>
    <font>
      <sz val="8"/>
      <color rgb="FF9C0006"/>
      <name val="Calibri"/>
      <family val="2"/>
    </font>
    <font>
      <b/>
      <sz val="8"/>
      <color rgb="FFFA7D00"/>
      <name val="Calibri"/>
      <family val="2"/>
    </font>
    <font>
      <b/>
      <sz val="8"/>
      <color theme="0"/>
      <name val="Calibri"/>
      <family val="2"/>
    </font>
    <font>
      <i/>
      <sz val="8"/>
      <color rgb="FF7F7F7F"/>
      <name val="Calibri"/>
      <family val="2"/>
    </font>
    <font>
      <u val="single"/>
      <sz val="8"/>
      <color theme="11"/>
      <name val="Calibri"/>
      <family val="2"/>
    </font>
    <font>
      <sz val="8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Calibri"/>
      <family val="2"/>
    </font>
    <font>
      <sz val="8"/>
      <color rgb="FF3F3F76"/>
      <name val="Calibri"/>
      <family val="2"/>
    </font>
    <font>
      <sz val="8"/>
      <color rgb="FFFA7D00"/>
      <name val="Calibri"/>
      <family val="2"/>
    </font>
    <font>
      <sz val="8"/>
      <color rgb="FF9C6500"/>
      <name val="Calibri"/>
      <family val="2"/>
    </font>
    <font>
      <b/>
      <sz val="8"/>
      <color rgb="FF3F3F3F"/>
      <name val="Calibri"/>
      <family val="2"/>
    </font>
    <font>
      <b/>
      <sz val="18"/>
      <color theme="3"/>
      <name val="Cambria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56"/>
      </left>
      <right style="hair">
        <color indexed="56"/>
      </right>
      <top style="thin">
        <color indexed="56"/>
      </top>
      <bottom style="hair">
        <color indexed="56"/>
      </bottom>
    </border>
    <border>
      <left style="hair">
        <color indexed="56"/>
      </left>
      <right style="hair">
        <color indexed="56"/>
      </right>
      <top style="thin">
        <color indexed="56"/>
      </top>
      <bottom style="hair">
        <color indexed="56"/>
      </bottom>
    </border>
    <border>
      <left style="hair">
        <color indexed="56"/>
      </left>
      <right style="thin">
        <color indexed="56"/>
      </right>
      <top style="thin">
        <color indexed="56"/>
      </top>
      <bottom style="hair">
        <color indexed="56"/>
      </bottom>
    </border>
    <border>
      <left style="thin">
        <color indexed="56"/>
      </left>
      <right style="hair">
        <color indexed="56"/>
      </right>
      <top style="hair">
        <color indexed="56"/>
      </top>
      <bottom style="hair">
        <color indexed="56"/>
      </bottom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  <border>
      <left style="hair">
        <color indexed="56"/>
      </left>
      <right style="thin">
        <color indexed="56"/>
      </right>
      <top style="hair">
        <color indexed="56"/>
      </top>
      <bottom style="hair">
        <color indexed="56"/>
      </bottom>
    </border>
    <border>
      <left style="thin">
        <color indexed="56"/>
      </left>
      <right style="hair">
        <color indexed="56"/>
      </right>
      <top style="hair">
        <color indexed="56"/>
      </top>
      <bottom style="thin">
        <color indexed="56"/>
      </bottom>
    </border>
    <border>
      <left style="hair">
        <color indexed="56"/>
      </left>
      <right style="hair">
        <color indexed="56"/>
      </right>
      <top style="hair">
        <color indexed="56"/>
      </top>
      <bottom style="thin">
        <color indexed="56"/>
      </bottom>
    </border>
    <border>
      <left style="hair">
        <color indexed="56"/>
      </left>
      <right style="thin">
        <color indexed="56"/>
      </right>
      <top style="hair">
        <color indexed="56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31" borderId="7" applyNumberFormat="0" applyFont="0" applyAlignment="0" applyProtection="0"/>
    <xf numFmtId="0" fontId="41" fillId="26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81" fontId="0" fillId="0" borderId="0" xfId="0" applyNumberFormat="1" applyAlignment="1" applyProtection="1">
      <alignment horizontal="center" vertical="center"/>
      <protection hidden="1"/>
    </xf>
    <xf numFmtId="20" fontId="0" fillId="0" borderId="0" xfId="0" applyNumberFormat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/>
      <protection hidden="1"/>
    </xf>
    <xf numFmtId="0" fontId="3" fillId="32" borderId="10" xfId="0" applyNumberFormat="1" applyFont="1" applyFill="1" applyBorder="1" applyAlignment="1" applyProtection="1">
      <alignment horizontal="left" indent="1"/>
      <protection hidden="1"/>
    </xf>
    <xf numFmtId="0" fontId="2" fillId="32" borderId="11" xfId="0" applyNumberFormat="1" applyFont="1" applyFill="1" applyBorder="1" applyAlignment="1" applyProtection="1">
      <alignment horizontal="left"/>
      <protection hidden="1"/>
    </xf>
    <xf numFmtId="0" fontId="2" fillId="32" borderId="12" xfId="0" applyNumberFormat="1" applyFont="1" applyFill="1" applyBorder="1" applyAlignment="1" applyProtection="1">
      <alignment/>
      <protection hidden="1"/>
    </xf>
    <xf numFmtId="0" fontId="2" fillId="32" borderId="13" xfId="0" applyNumberFormat="1" applyFont="1" applyFill="1" applyBorder="1" applyAlignment="1" applyProtection="1">
      <alignment/>
      <protection hidden="1"/>
    </xf>
    <xf numFmtId="0" fontId="2" fillId="32" borderId="0" xfId="0" applyNumberFormat="1" applyFont="1" applyFill="1" applyBorder="1" applyAlignment="1" applyProtection="1">
      <alignment horizontal="left"/>
      <protection hidden="1"/>
    </xf>
    <xf numFmtId="0" fontId="2" fillId="32" borderId="14" xfId="0" applyNumberFormat="1" applyFont="1" applyFill="1" applyBorder="1" applyAlignment="1" applyProtection="1">
      <alignment/>
      <protection hidden="1"/>
    </xf>
    <xf numFmtId="0" fontId="2" fillId="32" borderId="13" xfId="0" applyNumberFormat="1" applyFont="1" applyFill="1" applyBorder="1" applyAlignment="1" applyProtection="1">
      <alignment horizontal="right" vertical="center"/>
      <protection hidden="1"/>
    </xf>
    <xf numFmtId="0" fontId="2" fillId="33" borderId="15" xfId="0" applyNumberFormat="1" applyFont="1" applyFill="1" applyBorder="1" applyAlignment="1" applyProtection="1">
      <alignment horizontal="left" indent="1"/>
      <protection locked="0"/>
    </xf>
    <xf numFmtId="0" fontId="2" fillId="33" borderId="15" xfId="0" applyNumberFormat="1" applyFont="1" applyFill="1" applyBorder="1" applyAlignment="1" applyProtection="1">
      <alignment horizontal="left" vertical="center" indent="1"/>
      <protection locked="0"/>
    </xf>
    <xf numFmtId="0" fontId="2" fillId="32" borderId="16" xfId="0" applyNumberFormat="1" applyFont="1" applyFill="1" applyBorder="1" applyAlignment="1" applyProtection="1">
      <alignment/>
      <protection hidden="1"/>
    </xf>
    <xf numFmtId="0" fontId="2" fillId="32" borderId="17" xfId="0" applyNumberFormat="1" applyFont="1" applyFill="1" applyBorder="1" applyAlignment="1" applyProtection="1">
      <alignment horizontal="left"/>
      <protection hidden="1"/>
    </xf>
    <xf numFmtId="0" fontId="2" fillId="32" borderId="18" xfId="0" applyNumberFormat="1" applyFont="1" applyFill="1" applyBorder="1" applyAlignment="1" applyProtection="1">
      <alignment/>
      <protection hidden="1"/>
    </xf>
    <xf numFmtId="0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NumberFormat="1" applyFont="1" applyFill="1" applyAlignment="1" applyProtection="1">
      <alignment horizontal="left" vertical="center"/>
      <protection hidden="1"/>
    </xf>
    <xf numFmtId="0" fontId="2" fillId="0" borderId="0" xfId="0" applyNumberFormat="1" applyFont="1" applyFill="1" applyAlignment="1" applyProtection="1">
      <alignment/>
      <protection hidden="1"/>
    </xf>
    <xf numFmtId="0" fontId="4" fillId="0" borderId="0" xfId="0" applyNumberFormat="1" applyFont="1" applyFill="1" applyAlignment="1" applyProtection="1" quotePrefix="1">
      <alignment horizontal="left" vertical="center"/>
      <protection hidden="1"/>
    </xf>
    <xf numFmtId="0" fontId="2" fillId="0" borderId="0" xfId="0" applyNumberFormat="1" applyFont="1" applyAlignment="1" applyProtection="1">
      <alignment horizontal="left"/>
      <protection hidden="1"/>
    </xf>
    <xf numFmtId="192" fontId="4" fillId="0" borderId="0" xfId="0" applyNumberFormat="1" applyFont="1" applyFill="1" applyAlignment="1" applyProtection="1">
      <alignment horizontal="left" vertical="center"/>
      <protection hidden="1"/>
    </xf>
    <xf numFmtId="192" fontId="2" fillId="0" borderId="0" xfId="0" applyNumberFormat="1" applyFont="1" applyFill="1" applyAlignment="1" applyProtection="1">
      <alignment horizontal="left"/>
      <protection hidden="1"/>
    </xf>
    <xf numFmtId="192" fontId="4" fillId="0" borderId="0" xfId="0" applyNumberFormat="1" applyFont="1" applyFill="1" applyAlignment="1" applyProtection="1" quotePrefix="1">
      <alignment horizontal="left" vertic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NumberForma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right" vertical="center" shrinkToFit="1"/>
      <protection hidden="1"/>
    </xf>
    <xf numFmtId="0" fontId="0" fillId="0" borderId="0" xfId="0" applyAlignment="1" applyProtection="1">
      <alignment horizontal="left" vertical="center" shrinkToFit="1"/>
      <protection hidden="1"/>
    </xf>
    <xf numFmtId="193" fontId="0" fillId="0" borderId="0" xfId="0" applyNumberFormat="1" applyAlignment="1" applyProtection="1">
      <alignment horizontal="center" vertical="center" shrinkToFit="1"/>
      <protection hidden="1"/>
    </xf>
    <xf numFmtId="0" fontId="0" fillId="0" borderId="19" xfId="0" applyBorder="1" applyAlignment="1" applyProtection="1">
      <alignment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2" fontId="0" fillId="0" borderId="20" xfId="0" applyNumberForma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2" fontId="0" fillId="0" borderId="23" xfId="0" applyNumberFormat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2" fontId="0" fillId="0" borderId="26" xfId="0" applyNumberForma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5" fillId="34" borderId="28" xfId="0" applyFont="1" applyFill="1" applyBorder="1" applyAlignment="1" applyProtection="1">
      <alignment vertical="center"/>
      <protection hidden="1"/>
    </xf>
    <xf numFmtId="0" fontId="5" fillId="34" borderId="29" xfId="0" applyFont="1" applyFill="1" applyBorder="1" applyAlignment="1" applyProtection="1">
      <alignment horizontal="center" vertical="center"/>
      <protection hidden="1"/>
    </xf>
    <xf numFmtId="0" fontId="5" fillId="34" borderId="30" xfId="0" applyFont="1" applyFill="1" applyBorder="1" applyAlignment="1" applyProtection="1">
      <alignment horizontal="center" vertical="center"/>
      <protection hidden="1"/>
    </xf>
    <xf numFmtId="192" fontId="0" fillId="0" borderId="0" xfId="0" applyNumberFormat="1" applyAlignment="1" applyProtection="1">
      <alignment horizontal="center" vertical="center"/>
      <protection hidden="1"/>
    </xf>
    <xf numFmtId="192" fontId="0" fillId="0" borderId="0" xfId="0" applyNumberFormat="1" applyAlignment="1" applyProtection="1">
      <alignment vertical="center"/>
      <protection hidden="1"/>
    </xf>
    <xf numFmtId="192" fontId="6" fillId="0" borderId="0" xfId="0" applyNumberFormat="1" applyFont="1" applyAlignment="1" applyProtection="1">
      <alignment horizontal="center" vertical="center"/>
      <protection hidden="1"/>
    </xf>
    <xf numFmtId="192" fontId="6" fillId="0" borderId="0" xfId="0" applyNumberFormat="1" applyFont="1" applyAlignment="1" applyProtection="1">
      <alignment vertical="center"/>
      <protection hidden="1"/>
    </xf>
    <xf numFmtId="192" fontId="0" fillId="0" borderId="0" xfId="0" applyNumberFormat="1" applyAlignment="1" applyProtection="1">
      <alignment horizontal="left" vertical="center"/>
      <protection hidden="1"/>
    </xf>
    <xf numFmtId="192" fontId="0" fillId="35" borderId="0" xfId="0" applyNumberFormat="1" applyFill="1" applyAlignment="1" applyProtection="1">
      <alignment vertical="center"/>
      <protection hidden="1"/>
    </xf>
    <xf numFmtId="192" fontId="0" fillId="35" borderId="0" xfId="0" applyNumberFormat="1" applyFill="1" applyAlignment="1" applyProtection="1">
      <alignment horizontal="center" vertical="center"/>
      <protection hidden="1"/>
    </xf>
    <xf numFmtId="0" fontId="1" fillId="31" borderId="7" xfId="57" applyFont="1" applyAlignment="1" applyProtection="1">
      <alignment horizontal="center" vertical="center" shrinkToFit="1"/>
      <protection locked="0"/>
    </xf>
    <xf numFmtId="0" fontId="6" fillId="2" borderId="0" xfId="0" applyFont="1" applyFill="1" applyAlignment="1">
      <alignment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NumberFormat="1" applyAlignment="1" applyProtection="1">
      <alignment vertical="center"/>
      <protection hidden="1"/>
    </xf>
    <xf numFmtId="192" fontId="2" fillId="0" borderId="0" xfId="0" applyNumberFormat="1" applyFont="1" applyFill="1" applyAlignment="1" applyProtection="1">
      <alignment/>
      <protection hidden="1"/>
    </xf>
    <xf numFmtId="192" fontId="2" fillId="0" borderId="0" xfId="0" applyNumberFormat="1" applyFont="1" applyAlignment="1" applyProtection="1">
      <alignment/>
      <protection hidden="1"/>
    </xf>
    <xf numFmtId="49" fontId="6" fillId="10" borderId="0" xfId="0" applyNumberFormat="1" applyFont="1" applyFill="1" applyAlignment="1" applyProtection="1" quotePrefix="1">
      <alignment horizontal="center" vertical="center" shrinkToFit="1"/>
      <protection hidden="1" locked="0"/>
    </xf>
    <xf numFmtId="0" fontId="0" fillId="5" borderId="0" xfId="0" applyFill="1" applyAlignment="1" applyProtection="1">
      <alignment horizontal="center" vertical="center"/>
      <protection hidden="1"/>
    </xf>
    <xf numFmtId="0" fontId="0" fillId="5" borderId="0" xfId="0" applyFill="1" applyAlignment="1" applyProtection="1">
      <alignment horizontal="right" vertical="center"/>
      <protection hidden="1"/>
    </xf>
    <xf numFmtId="0" fontId="0" fillId="5" borderId="0" xfId="0" applyFill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49" fontId="6" fillId="10" borderId="0" xfId="0" applyNumberFormat="1" applyFont="1" applyFill="1" applyAlignment="1" applyProtection="1">
      <alignment horizontal="center" vertical="center" shrinkToFit="1"/>
      <protection hidden="1" locked="0"/>
    </xf>
    <xf numFmtId="0" fontId="0" fillId="0" borderId="0" xfId="0" applyAlignment="1">
      <alignment/>
    </xf>
    <xf numFmtId="0" fontId="37" fillId="0" borderId="0" xfId="53" applyAlignment="1" applyProtection="1">
      <alignment horizontal="right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9" fillId="0" borderId="32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0" fontId="8" fillId="34" borderId="28" xfId="0" applyFont="1" applyFill="1" applyBorder="1" applyAlignment="1" applyProtection="1">
      <alignment horizontal="center" vertical="center"/>
      <protection hidden="1"/>
    </xf>
    <xf numFmtId="0" fontId="8" fillId="34" borderId="29" xfId="0" applyFont="1" applyFill="1" applyBorder="1" applyAlignment="1" applyProtection="1">
      <alignment horizontal="center" vertical="center"/>
      <protection hidden="1"/>
    </xf>
    <xf numFmtId="0" fontId="8" fillId="34" borderId="3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ont>
        <b/>
        <i val="0"/>
        <color theme="3" tint="0.3999499976634979"/>
      </font>
    </dxf>
    <dxf>
      <font>
        <b val="0"/>
        <i val="0"/>
        <color rgb="FFFF0000"/>
      </font>
    </dxf>
    <dxf>
      <font>
        <b val="0"/>
        <i/>
        <color rgb="FF92D050"/>
      </font>
    </dxf>
    <dxf>
      <font>
        <b/>
        <i val="0"/>
        <color theme="3" tint="0.3999499976634979"/>
      </font>
    </dxf>
    <dxf>
      <font>
        <b val="0"/>
        <i val="0"/>
        <color rgb="FFFF0000"/>
      </font>
    </dxf>
    <dxf>
      <font>
        <b val="0"/>
        <i/>
        <color rgb="FF92D050"/>
      </font>
    </dxf>
    <dxf>
      <font>
        <b val="0"/>
        <i/>
        <color rgb="FF92D050"/>
      </font>
      <border/>
    </dxf>
    <dxf>
      <font>
        <b val="0"/>
        <i val="0"/>
        <color rgb="FFFF0000"/>
      </font>
      <border/>
    </dxf>
    <dxf>
      <font>
        <b/>
        <i val="0"/>
        <color theme="3" tint="0.399949997663497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0"/>
  <sheetViews>
    <sheetView zoomScalePageLayoutView="0" workbookViewId="0" topLeftCell="A1">
      <pane ySplit="1" topLeftCell="A49" activePane="bottomLeft" state="frozen"/>
      <selection pane="topLeft" activeCell="A1" sqref="A1"/>
      <selection pane="bottomLeft" activeCell="A70" sqref="A70"/>
    </sheetView>
  </sheetViews>
  <sheetFormatPr defaultColWidth="9.33203125" defaultRowHeight="11.25"/>
  <cols>
    <col min="1" max="1" width="11.33203125" style="0" bestFit="1" customWidth="1"/>
  </cols>
  <sheetData>
    <row r="1" s="56" customFormat="1" ht="11.25">
      <c r="A1" s="56" t="s">
        <v>8</v>
      </c>
    </row>
    <row r="2" ht="11.25">
      <c r="A2" t="s">
        <v>43</v>
      </c>
    </row>
    <row r="3" ht="11.25">
      <c r="A3" t="s">
        <v>0</v>
      </c>
    </row>
    <row r="4" ht="11.25">
      <c r="A4" t="s">
        <v>114</v>
      </c>
    </row>
    <row r="5" ht="11.25">
      <c r="A5" t="s">
        <v>115</v>
      </c>
    </row>
    <row r="6" ht="11.25">
      <c r="A6" t="s">
        <v>31</v>
      </c>
    </row>
    <row r="7" ht="11.25">
      <c r="A7" t="s">
        <v>59</v>
      </c>
    </row>
    <row r="8" ht="11.25">
      <c r="A8" t="s">
        <v>60</v>
      </c>
    </row>
    <row r="9" ht="11.25">
      <c r="A9" t="s">
        <v>61</v>
      </c>
    </row>
    <row r="10" ht="11.25">
      <c r="A10" t="s">
        <v>62</v>
      </c>
    </row>
    <row r="11" ht="11.25">
      <c r="A11" t="s">
        <v>63</v>
      </c>
    </row>
    <row r="12" ht="11.25">
      <c r="A12" t="s">
        <v>64</v>
      </c>
    </row>
    <row r="13" ht="11.25">
      <c r="A13" t="s">
        <v>65</v>
      </c>
    </row>
    <row r="14" ht="11.25">
      <c r="A14" t="s">
        <v>66</v>
      </c>
    </row>
    <row r="15" ht="11.25">
      <c r="A15" t="s">
        <v>67</v>
      </c>
    </row>
    <row r="16" ht="11.25">
      <c r="A16" t="s">
        <v>68</v>
      </c>
    </row>
    <row r="17" ht="11.25">
      <c r="A17" t="s">
        <v>69</v>
      </c>
    </row>
    <row r="18" ht="11.25">
      <c r="A18" t="s">
        <v>70</v>
      </c>
    </row>
    <row r="19" ht="11.25">
      <c r="A19" t="s">
        <v>77</v>
      </c>
    </row>
    <row r="20" ht="11.25">
      <c r="A20" t="s">
        <v>71</v>
      </c>
    </row>
    <row r="21" ht="11.25">
      <c r="A21" t="s">
        <v>72</v>
      </c>
    </row>
    <row r="22" ht="11.25">
      <c r="A22" t="s">
        <v>73</v>
      </c>
    </row>
    <row r="23" ht="11.25">
      <c r="A23" t="s">
        <v>74</v>
      </c>
    </row>
    <row r="24" ht="11.25">
      <c r="A24" t="s">
        <v>75</v>
      </c>
    </row>
    <row r="25" ht="11.25">
      <c r="A25" t="s">
        <v>76</v>
      </c>
    </row>
    <row r="26" ht="11.25">
      <c r="A26" t="s">
        <v>1</v>
      </c>
    </row>
    <row r="27" ht="11.25">
      <c r="A27" t="s">
        <v>2</v>
      </c>
    </row>
    <row r="28" ht="11.25">
      <c r="A28" t="s">
        <v>3</v>
      </c>
    </row>
    <row r="29" ht="11.25">
      <c r="A29" t="s">
        <v>4</v>
      </c>
    </row>
    <row r="30" ht="11.25">
      <c r="A30" t="s">
        <v>5</v>
      </c>
    </row>
    <row r="31" ht="11.25">
      <c r="A31" t="s">
        <v>6</v>
      </c>
    </row>
    <row r="32" ht="11.25">
      <c r="A32" t="s">
        <v>7</v>
      </c>
    </row>
    <row r="33" ht="11.25">
      <c r="A33" t="s">
        <v>19</v>
      </c>
    </row>
    <row r="34" ht="11.25">
      <c r="A34" t="s">
        <v>20</v>
      </c>
    </row>
    <row r="35" ht="11.25">
      <c r="A35" t="s">
        <v>21</v>
      </c>
    </row>
    <row r="36" ht="11.25">
      <c r="A36" t="s">
        <v>22</v>
      </c>
    </row>
    <row r="37" ht="11.25">
      <c r="A37" t="s">
        <v>23</v>
      </c>
    </row>
    <row r="38" ht="11.25">
      <c r="A38" t="s">
        <v>24</v>
      </c>
    </row>
    <row r="39" ht="11.25">
      <c r="A39" t="s">
        <v>25</v>
      </c>
    </row>
    <row r="40" ht="11.25">
      <c r="A40" t="s">
        <v>39</v>
      </c>
    </row>
    <row r="41" ht="11.25">
      <c r="A41" t="s">
        <v>40</v>
      </c>
    </row>
    <row r="42" ht="11.25">
      <c r="A42" t="s">
        <v>116</v>
      </c>
    </row>
    <row r="43" ht="11.25">
      <c r="A43" t="s">
        <v>32</v>
      </c>
    </row>
    <row r="44" ht="11.25">
      <c r="A44" t="s">
        <v>33</v>
      </c>
    </row>
    <row r="45" ht="11.25">
      <c r="A45" t="s">
        <v>34</v>
      </c>
    </row>
    <row r="46" ht="11.25">
      <c r="A46" t="s">
        <v>35</v>
      </c>
    </row>
    <row r="47" ht="11.25">
      <c r="A47" t="s">
        <v>36</v>
      </c>
    </row>
    <row r="49" ht="11.25">
      <c r="A49" t="s">
        <v>37</v>
      </c>
    </row>
    <row r="50" ht="11.25">
      <c r="A50" t="s">
        <v>38</v>
      </c>
    </row>
    <row r="51" ht="11.25">
      <c r="A51" t="s">
        <v>117</v>
      </c>
    </row>
    <row r="52" ht="11.25">
      <c r="A52" t="s">
        <v>118</v>
      </c>
    </row>
    <row r="53" ht="11.25">
      <c r="A53" t="s">
        <v>119</v>
      </c>
    </row>
    <row r="54" ht="11.25">
      <c r="A54" t="s">
        <v>47</v>
      </c>
    </row>
    <row r="55" ht="11.25">
      <c r="A55" t="s">
        <v>52</v>
      </c>
    </row>
    <row r="56" ht="11.25">
      <c r="A56" t="s">
        <v>58</v>
      </c>
    </row>
    <row r="57" ht="11.25">
      <c r="A57" t="s">
        <v>45</v>
      </c>
    </row>
    <row r="58" ht="11.25">
      <c r="A58" t="s">
        <v>56</v>
      </c>
    </row>
    <row r="59" ht="11.25">
      <c r="A59" t="s">
        <v>50</v>
      </c>
    </row>
    <row r="60" ht="11.25">
      <c r="A60" t="s">
        <v>54</v>
      </c>
    </row>
    <row r="61" ht="11.25">
      <c r="A61" t="s">
        <v>44</v>
      </c>
    </row>
    <row r="62" ht="11.25">
      <c r="A62" t="s">
        <v>46</v>
      </c>
    </row>
    <row r="63" ht="11.25">
      <c r="A63" t="s">
        <v>55</v>
      </c>
    </row>
    <row r="64" ht="11.25">
      <c r="A64" t="s">
        <v>51</v>
      </c>
    </row>
    <row r="65" ht="11.25">
      <c r="A65" t="s">
        <v>53</v>
      </c>
    </row>
    <row r="66" ht="11.25">
      <c r="A66" t="s">
        <v>57</v>
      </c>
    </row>
    <row r="67" ht="11.25">
      <c r="A67" t="s">
        <v>48</v>
      </c>
    </row>
    <row r="68" ht="11.25">
      <c r="A68" t="s">
        <v>49</v>
      </c>
    </row>
    <row r="69" ht="11.25">
      <c r="A69" t="s">
        <v>121</v>
      </c>
    </row>
    <row r="70" ht="11.25">
      <c r="A70" t="s">
        <v>122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E51"/>
  <sheetViews>
    <sheetView showGridLines="0" zoomScalePageLayoutView="0" workbookViewId="0" topLeftCell="A19">
      <selection activeCell="C18" sqref="C18"/>
    </sheetView>
  </sheetViews>
  <sheetFormatPr defaultColWidth="9.33203125" defaultRowHeight="11.25"/>
  <cols>
    <col min="1" max="1" width="2.5" style="7" customWidth="1"/>
    <col min="2" max="2" width="25.5" style="7" customWidth="1"/>
    <col min="3" max="3" width="22.66015625" style="24" customWidth="1"/>
    <col min="4" max="4" width="3" style="7" customWidth="1"/>
    <col min="5" max="5" width="2.5" style="7" customWidth="1"/>
    <col min="6" max="6" width="19" style="7" customWidth="1"/>
    <col min="7" max="7" width="33.33203125" style="7" customWidth="1"/>
    <col min="8" max="8" width="3" style="7" customWidth="1"/>
    <col min="9" max="16384" width="9.33203125" style="7" customWidth="1"/>
  </cols>
  <sheetData>
    <row r="2" spans="2:4" ht="16.5" thickBot="1">
      <c r="B2" s="8" t="s">
        <v>78</v>
      </c>
      <c r="C2" s="9"/>
      <c r="D2" s="10"/>
    </row>
    <row r="3" spans="2:4" ht="12.75">
      <c r="B3" s="11"/>
      <c r="C3" s="12"/>
      <c r="D3" s="13"/>
    </row>
    <row r="4" spans="2:4" ht="12.75">
      <c r="B4" s="14" t="s">
        <v>79</v>
      </c>
      <c r="C4" s="15" t="s">
        <v>8</v>
      </c>
      <c r="D4" s="13"/>
    </row>
    <row r="5" spans="2:4" ht="12.75">
      <c r="B5" s="11"/>
      <c r="C5" s="12"/>
      <c r="D5" s="13"/>
    </row>
    <row r="6" spans="2:4" ht="12.75">
      <c r="B6" s="14" t="s">
        <v>80</v>
      </c>
      <c r="C6" s="15" t="s">
        <v>81</v>
      </c>
      <c r="D6" s="13"/>
    </row>
    <row r="7" spans="2:4" ht="12.75">
      <c r="B7" s="11"/>
      <c r="C7" s="12"/>
      <c r="D7" s="13"/>
    </row>
    <row r="8" spans="2:4" ht="12.75">
      <c r="B8" s="14" t="s">
        <v>82</v>
      </c>
      <c r="C8" s="16" t="s">
        <v>102</v>
      </c>
      <c r="D8" s="13"/>
    </row>
    <row r="9" spans="2:4" ht="12.75">
      <c r="B9" s="11"/>
      <c r="C9" s="12"/>
      <c r="D9" s="13"/>
    </row>
    <row r="10" spans="2:4" ht="12.75">
      <c r="B10" s="14" t="s">
        <v>84</v>
      </c>
      <c r="C10" s="16" t="s">
        <v>85</v>
      </c>
      <c r="D10" s="13"/>
    </row>
    <row r="11" spans="2:4" ht="12.75">
      <c r="B11" s="17"/>
      <c r="C11" s="18"/>
      <c r="D11" s="19"/>
    </row>
    <row r="12" spans="2:5" ht="12.75">
      <c r="B12" s="20"/>
      <c r="C12" s="20"/>
      <c r="D12" s="20"/>
      <c r="E12" s="20"/>
    </row>
    <row r="13" spans="2:4" s="60" customFormat="1" ht="12.75">
      <c r="B13" s="25" t="s">
        <v>86</v>
      </c>
      <c r="C13" s="25">
        <f>IF(ISERROR(MATCH(C4,lang_list,0)),1,MATCH(C4,lang_list,0))</f>
        <v>1</v>
      </c>
      <c r="D13" s="59"/>
    </row>
    <row r="14" spans="2:4" s="60" customFormat="1" ht="12.75">
      <c r="B14" s="25" t="s">
        <v>87</v>
      </c>
      <c r="C14" s="26">
        <f>TIME(VLOOKUP(C8,B16:C39,2,FALSE),VLOOKUP(C10,B41:C44,2,FALSE),0)</f>
        <v>0.625</v>
      </c>
      <c r="D14" s="59"/>
    </row>
    <row r="15" spans="2:4" s="60" customFormat="1" ht="12.75">
      <c r="B15" s="25"/>
      <c r="C15" s="25"/>
      <c r="D15" s="59"/>
    </row>
    <row r="16" spans="2:4" s="60" customFormat="1" ht="12.75">
      <c r="B16" s="25" t="s">
        <v>88</v>
      </c>
      <c r="C16" s="25">
        <v>0</v>
      </c>
      <c r="D16" s="59"/>
    </row>
    <row r="17" spans="2:4" s="60" customFormat="1" ht="12.75">
      <c r="B17" s="25" t="s">
        <v>89</v>
      </c>
      <c r="C17" s="25">
        <v>1</v>
      </c>
      <c r="D17" s="59"/>
    </row>
    <row r="18" spans="2:4" s="60" customFormat="1" ht="12.75">
      <c r="B18" s="25" t="s">
        <v>90</v>
      </c>
      <c r="C18" s="25">
        <v>2</v>
      </c>
      <c r="D18" s="59"/>
    </row>
    <row r="19" spans="2:4" s="60" customFormat="1" ht="12.75">
      <c r="B19" s="25" t="s">
        <v>91</v>
      </c>
      <c r="C19" s="25">
        <v>3</v>
      </c>
      <c r="D19" s="59"/>
    </row>
    <row r="20" spans="2:4" s="60" customFormat="1" ht="12.75">
      <c r="B20" s="25" t="s">
        <v>92</v>
      </c>
      <c r="C20" s="25">
        <v>4</v>
      </c>
      <c r="D20" s="59"/>
    </row>
    <row r="21" spans="2:4" s="60" customFormat="1" ht="12.75">
      <c r="B21" s="25" t="s">
        <v>93</v>
      </c>
      <c r="C21" s="25">
        <v>5</v>
      </c>
      <c r="D21" s="59"/>
    </row>
    <row r="22" spans="2:4" s="60" customFormat="1" ht="12.75">
      <c r="B22" s="25" t="s">
        <v>94</v>
      </c>
      <c r="C22" s="25">
        <v>6</v>
      </c>
      <c r="D22" s="59"/>
    </row>
    <row r="23" spans="2:4" s="60" customFormat="1" ht="12.75">
      <c r="B23" s="25" t="s">
        <v>95</v>
      </c>
      <c r="C23" s="25">
        <v>7</v>
      </c>
      <c r="D23" s="59"/>
    </row>
    <row r="24" spans="2:4" s="60" customFormat="1" ht="12.75">
      <c r="B24" s="25" t="s">
        <v>96</v>
      </c>
      <c r="C24" s="25">
        <v>8</v>
      </c>
      <c r="D24" s="59"/>
    </row>
    <row r="25" spans="2:4" s="60" customFormat="1" ht="12.75">
      <c r="B25" s="25" t="s">
        <v>97</v>
      </c>
      <c r="C25" s="25">
        <v>9</v>
      </c>
      <c r="D25" s="59"/>
    </row>
    <row r="26" spans="2:4" s="60" customFormat="1" ht="12.75">
      <c r="B26" s="25" t="s">
        <v>98</v>
      </c>
      <c r="C26" s="25">
        <v>10</v>
      </c>
      <c r="D26" s="59"/>
    </row>
    <row r="27" spans="2:4" s="60" customFormat="1" ht="12.75">
      <c r="B27" s="25" t="s">
        <v>99</v>
      </c>
      <c r="C27" s="25">
        <v>11</v>
      </c>
      <c r="D27" s="59"/>
    </row>
    <row r="28" spans="2:4" s="60" customFormat="1" ht="12.75">
      <c r="B28" s="25" t="s">
        <v>100</v>
      </c>
      <c r="C28" s="25">
        <v>12</v>
      </c>
      <c r="D28" s="59"/>
    </row>
    <row r="29" spans="2:4" s="60" customFormat="1" ht="12.75">
      <c r="B29" s="25" t="s">
        <v>83</v>
      </c>
      <c r="C29" s="25">
        <v>13</v>
      </c>
      <c r="D29" s="59"/>
    </row>
    <row r="30" spans="2:4" s="60" customFormat="1" ht="12.75">
      <c r="B30" s="25" t="s">
        <v>101</v>
      </c>
      <c r="C30" s="25">
        <v>14</v>
      </c>
      <c r="D30" s="59"/>
    </row>
    <row r="31" spans="2:4" s="60" customFormat="1" ht="12.75">
      <c r="B31" s="25" t="s">
        <v>102</v>
      </c>
      <c r="C31" s="25">
        <v>15</v>
      </c>
      <c r="D31" s="59"/>
    </row>
    <row r="32" spans="2:4" s="60" customFormat="1" ht="12.75">
      <c r="B32" s="25" t="s">
        <v>103</v>
      </c>
      <c r="C32" s="25">
        <v>16</v>
      </c>
      <c r="D32" s="59"/>
    </row>
    <row r="33" spans="2:4" s="60" customFormat="1" ht="12.75">
      <c r="B33" s="25" t="s">
        <v>104</v>
      </c>
      <c r="C33" s="25">
        <v>17</v>
      </c>
      <c r="D33" s="59"/>
    </row>
    <row r="34" spans="2:4" s="60" customFormat="1" ht="12.75">
      <c r="B34" s="25" t="s">
        <v>105</v>
      </c>
      <c r="C34" s="25">
        <v>18</v>
      </c>
      <c r="D34" s="59"/>
    </row>
    <row r="35" spans="2:4" s="60" customFormat="1" ht="12.75">
      <c r="B35" s="25" t="s">
        <v>106</v>
      </c>
      <c r="C35" s="25">
        <v>19</v>
      </c>
      <c r="D35" s="59"/>
    </row>
    <row r="36" spans="2:4" s="60" customFormat="1" ht="12.75">
      <c r="B36" s="25" t="s">
        <v>107</v>
      </c>
      <c r="C36" s="25">
        <v>20</v>
      </c>
      <c r="D36" s="59"/>
    </row>
    <row r="37" spans="2:4" s="60" customFormat="1" ht="12.75">
      <c r="B37" s="25" t="s">
        <v>108</v>
      </c>
      <c r="C37" s="25">
        <v>21</v>
      </c>
      <c r="D37" s="59"/>
    </row>
    <row r="38" spans="2:4" s="60" customFormat="1" ht="12.75">
      <c r="B38" s="25" t="s">
        <v>109</v>
      </c>
      <c r="C38" s="25">
        <v>22</v>
      </c>
      <c r="D38" s="59"/>
    </row>
    <row r="39" spans="2:4" s="60" customFormat="1" ht="12.75">
      <c r="B39" s="25" t="s">
        <v>110</v>
      </c>
      <c r="C39" s="25">
        <v>23</v>
      </c>
      <c r="D39" s="59"/>
    </row>
    <row r="40" spans="2:4" s="60" customFormat="1" ht="12.75">
      <c r="B40" s="25"/>
      <c r="C40" s="25"/>
      <c r="D40" s="59"/>
    </row>
    <row r="41" spans="2:4" s="60" customFormat="1" ht="12.75">
      <c r="B41" s="27" t="s">
        <v>85</v>
      </c>
      <c r="C41" s="25">
        <v>0</v>
      </c>
      <c r="D41" s="59"/>
    </row>
    <row r="42" spans="2:4" s="60" customFormat="1" ht="12.75">
      <c r="B42" s="27" t="s">
        <v>111</v>
      </c>
      <c r="C42" s="25">
        <v>15</v>
      </c>
      <c r="D42" s="59"/>
    </row>
    <row r="43" spans="2:4" s="60" customFormat="1" ht="12.75">
      <c r="B43" s="27" t="s">
        <v>112</v>
      </c>
      <c r="C43" s="25">
        <v>30</v>
      </c>
      <c r="D43" s="59"/>
    </row>
    <row r="44" spans="2:4" s="60" customFormat="1" ht="12.75">
      <c r="B44" s="27" t="s">
        <v>113</v>
      </c>
      <c r="C44" s="25">
        <v>45</v>
      </c>
      <c r="D44" s="59"/>
    </row>
    <row r="45" spans="2:4" ht="12.75">
      <c r="B45" s="23"/>
      <c r="C45" s="21"/>
      <c r="D45" s="22"/>
    </row>
    <row r="46" ht="12.75">
      <c r="C46" s="7"/>
    </row>
    <row r="47" ht="12.75">
      <c r="C47" s="7"/>
    </row>
    <row r="48" ht="12.75">
      <c r="C48" s="7"/>
    </row>
    <row r="49" ht="12.75">
      <c r="C49" s="7"/>
    </row>
    <row r="50" ht="12.75">
      <c r="C50" s="7"/>
    </row>
    <row r="51" ht="12.75">
      <c r="C51" s="7"/>
    </row>
  </sheetData>
  <sheetProtection password="81D4" sheet="1"/>
  <dataValidations count="4">
    <dataValidation type="list" allowBlank="1" showInputMessage="1" showErrorMessage="1" promptTitle="Select Minutes" prompt="Use drop-down List" sqref="C10">
      <formula1>$B$41:$B$44</formula1>
    </dataValidation>
    <dataValidation type="list" allowBlank="1" showInputMessage="1" showErrorMessage="1" promptTitle="Select GTM-time" prompt="Use drop-down List" sqref="C8">
      <formula1>$B$16:$B$39</formula1>
    </dataValidation>
    <dataValidation type="list" allowBlank="1" showInputMessage="1" showErrorMessage="1" sqref="C4">
      <formula1>"English"</formula1>
    </dataValidation>
    <dataValidation type="list" allowBlank="1" showInputMessage="1" showErrorMessage="1" sqref="C6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9"/>
  <sheetViews>
    <sheetView showGridLines="0" tabSelected="1" zoomScalePageLayoutView="0" workbookViewId="0" topLeftCell="A1">
      <selection activeCell="O60" sqref="O60"/>
    </sheetView>
  </sheetViews>
  <sheetFormatPr defaultColWidth="9.33203125" defaultRowHeight="11.25"/>
  <cols>
    <col min="1" max="1" width="3.83203125" style="1" customWidth="1"/>
    <col min="2" max="2" width="5.16015625" style="1" customWidth="1"/>
    <col min="3" max="3" width="11" style="1" bestFit="1" customWidth="1"/>
    <col min="4" max="4" width="6.16015625" style="1" customWidth="1"/>
    <col min="5" max="5" width="16.66015625" style="3" customWidth="1"/>
    <col min="6" max="8" width="5.83203125" style="1" customWidth="1"/>
    <col min="9" max="9" width="5.66015625" style="1" customWidth="1"/>
    <col min="10" max="12" width="5.83203125" style="1" customWidth="1"/>
    <col min="13" max="13" width="16.66015625" style="4" customWidth="1"/>
    <col min="14" max="14" width="24.5" style="4" bestFit="1" customWidth="1"/>
    <col min="15" max="15" width="11.16015625" style="4" bestFit="1" customWidth="1"/>
    <col min="16" max="16" width="2.66015625" style="2" customWidth="1"/>
    <col min="17" max="17" width="14" style="2" customWidth="1"/>
    <col min="18" max="21" width="5.33203125" style="1" customWidth="1"/>
    <col min="22" max="22" width="5.33203125" style="1" hidden="1" customWidth="1"/>
    <col min="23" max="23" width="6.5" style="1" customWidth="1"/>
    <col min="24" max="24" width="5.33203125" style="1" customWidth="1"/>
    <col min="25" max="25" width="2.66015625" style="58" customWidth="1"/>
    <col min="26" max="27" width="5.33203125" style="48" hidden="1" customWidth="1"/>
    <col min="28" max="28" width="14" style="49" hidden="1" customWidth="1"/>
    <col min="29" max="33" width="5.33203125" style="48" hidden="1" customWidth="1"/>
    <col min="34" max="34" width="7" style="48" hidden="1" customWidth="1"/>
    <col min="35" max="35" width="5.33203125" style="48" hidden="1" customWidth="1"/>
    <col min="36" max="36" width="2.66015625" style="49" hidden="1" customWidth="1"/>
    <col min="37" max="38" width="14.16015625" style="49" hidden="1" customWidth="1"/>
    <col min="39" max="39" width="6.5" style="48" hidden="1" customWidth="1"/>
    <col min="40" max="40" width="12.66015625" style="48" hidden="1" customWidth="1"/>
    <col min="41" max="41" width="13.33203125" style="48" hidden="1" customWidth="1"/>
    <col min="42" max="44" width="6.5" style="48" hidden="1" customWidth="1"/>
    <col min="45" max="45" width="2.83203125" style="49" hidden="1" customWidth="1"/>
    <col min="46" max="46" width="47" style="49" hidden="1" customWidth="1"/>
    <col min="47" max="47" width="2.83203125" style="58" hidden="1" customWidth="1"/>
    <col min="48" max="48" width="9.33203125" style="58" customWidth="1"/>
    <col min="49" max="16384" width="9.33203125" style="2" customWidth="1"/>
  </cols>
  <sheetData>
    <row r="1" spans="1:15" ht="27.75" thickBot="1" thickTop="1">
      <c r="A1" s="69" t="str">
        <f>INDEX(T,2,lang)</f>
        <v>2011 Cricket World Cup Tournament Schedule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</row>
    <row r="2" ht="12" thickTop="1"/>
    <row r="3" spans="1:24" ht="11.25">
      <c r="A3"/>
      <c r="B3" s="67"/>
      <c r="C3" s="67"/>
      <c r="D3" s="67"/>
      <c r="E3" s="67"/>
      <c r="F3" s="67"/>
      <c r="G3" s="67"/>
      <c r="H3" s="67"/>
      <c r="I3" s="4"/>
      <c r="J3" s="67"/>
      <c r="K3" s="67"/>
      <c r="L3" s="67"/>
      <c r="M3" s="67"/>
      <c r="N3" s="67"/>
      <c r="O3" s="67"/>
      <c r="S3" s="28"/>
      <c r="T3" s="68" t="s">
        <v>120</v>
      </c>
      <c r="U3" s="68"/>
      <c r="V3" s="68"/>
      <c r="W3" s="68"/>
      <c r="X3" s="68"/>
    </row>
    <row r="5" spans="1:24" ht="18.75" customHeight="1">
      <c r="A5" s="73" t="str">
        <f>INDEX(T,3,lang)</f>
        <v>First Round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5"/>
      <c r="Q5" s="67"/>
      <c r="R5" s="67"/>
      <c r="S5" s="67"/>
      <c r="T5" s="67"/>
      <c r="U5" s="67"/>
      <c r="V5" s="67"/>
      <c r="W5" s="67"/>
      <c r="X5" s="67"/>
    </row>
    <row r="6" spans="5:35" ht="11.25">
      <c r="E6" s="1"/>
      <c r="F6" s="28" t="str">
        <f>INDEX(T,40,lang)</f>
        <v>Runs</v>
      </c>
      <c r="G6" s="28" t="str">
        <f>INDEX(T,70,lang)</f>
        <v>Wickets</v>
      </c>
      <c r="H6" s="28" t="str">
        <f>INDEX(T,41,lang)</f>
        <v>Overs</v>
      </c>
      <c r="I6" s="28" t="str">
        <f>INDEX(T,69,lang)</f>
        <v>Innings</v>
      </c>
      <c r="J6" s="28" t="str">
        <f>INDEX(T,40,lang)</f>
        <v>Runs</v>
      </c>
      <c r="K6" s="28" t="str">
        <f>INDEX(T,70,lang)</f>
        <v>Wickets</v>
      </c>
      <c r="L6" s="28" t="str">
        <f>INDEX(T,41,lang)</f>
        <v>Overs</v>
      </c>
      <c r="N6" s="65"/>
      <c r="Z6" s="50" t="s">
        <v>42</v>
      </c>
      <c r="AA6" s="50" t="s">
        <v>41</v>
      </c>
      <c r="AB6" s="51" t="s">
        <v>32</v>
      </c>
      <c r="AC6" s="50" t="s">
        <v>33</v>
      </c>
      <c r="AD6" s="50" t="s">
        <v>34</v>
      </c>
      <c r="AE6" s="50" t="s">
        <v>35</v>
      </c>
      <c r="AF6" s="50" t="s">
        <v>36</v>
      </c>
      <c r="AG6" s="50"/>
      <c r="AH6" s="50" t="s">
        <v>37</v>
      </c>
      <c r="AI6" s="50" t="s">
        <v>38</v>
      </c>
    </row>
    <row r="7" spans="1:46" ht="11.25">
      <c r="A7" s="28">
        <v>1</v>
      </c>
      <c r="B7" s="28" t="str">
        <f>INDEX(T,18+WEEKDAY(AL7,1),lang)</f>
        <v>Sat</v>
      </c>
      <c r="C7" s="29" t="str">
        <f>DAY(AL7)&amp;" "&amp;INDEX(T,6+MONTH(AL7),lang)&amp;" 2011"</f>
        <v>19 Feb 2011</v>
      </c>
      <c r="D7" s="32">
        <f>TIME(HOUR(AL7),MINUTE(AL7),0)</f>
        <v>0.5208333333333334</v>
      </c>
      <c r="E7" s="30" t="str">
        <f>INDEX(T,35,lang)</f>
        <v>India</v>
      </c>
      <c r="F7" s="55"/>
      <c r="G7" s="55"/>
      <c r="H7" s="55"/>
      <c r="I7" s="66" t="s">
        <v>123</v>
      </c>
      <c r="J7" s="55"/>
      <c r="K7" s="55"/>
      <c r="L7" s="55"/>
      <c r="M7" s="31" t="str">
        <f>INDEX(T,33,lang)</f>
        <v>Bangladesh</v>
      </c>
      <c r="N7" s="31">
        <f>IF(AM7="","",IF(AM7=0,INDEX(T,53,lang),IF(AM7&gt;0,E7,M7)&amp;" "&amp;INDEX(T,52,lang)&amp;" "&amp;IF(I7="--&gt;",IF(AM7&lt;0,-AM7&amp;" "&amp;LOWER(INDEX(T,40,lang)),(10-G7)&amp;" "&amp;LOWER(INDEX(T,70,lang))),IF(AM7&gt;0,AM7&amp;" "&amp;LOWER(INDEX(T,40,lang)),(10-K7)&amp;" "&amp;LOWER(INDEX(T,70,lang))))))</f>
      </c>
      <c r="O7" s="31" t="str">
        <f>INDEX(T,61,lang)</f>
        <v>Dhaka</v>
      </c>
      <c r="Q7" s="45" t="str">
        <f>INDEX(T,42,lang)&amp;" A"</f>
        <v>Group A</v>
      </c>
      <c r="R7" s="46" t="str">
        <f>INDEX(T,44,lang)</f>
        <v>Pld</v>
      </c>
      <c r="S7" s="46" t="str">
        <f>INDEX(T,45,lang)</f>
        <v>W</v>
      </c>
      <c r="T7" s="46" t="str">
        <f>INDEX(T,46,lang)</f>
        <v>T</v>
      </c>
      <c r="U7" s="46" t="str">
        <f>INDEX(T,47,lang)</f>
        <v>L</v>
      </c>
      <c r="V7" s="46"/>
      <c r="W7" s="46" t="str">
        <f>INDEX(T,49,lang)</f>
        <v>NRR</v>
      </c>
      <c r="X7" s="47" t="str">
        <f>INDEX(T,50,lang)</f>
        <v>Pts</v>
      </c>
      <c r="Z7" s="48">
        <f>COUNTIF($AA$7:$AA$13,"&gt;="&amp;AA7)</f>
        <v>7</v>
      </c>
      <c r="AA7" s="48">
        <f>AI7*100+AH7+ROW()/1000</f>
        <v>0.007</v>
      </c>
      <c r="AB7" s="49" t="s">
        <v>1</v>
      </c>
      <c r="AC7" s="48">
        <f aca="true" t="shared" si="0" ref="AC7:AC13">AD7+AE7+AF7</f>
        <v>0</v>
      </c>
      <c r="AD7" s="48">
        <f aca="true" t="shared" si="1" ref="AD7:AD13">COUNTIF($AN$7:$AO$48,$AB7&amp;"_w")</f>
        <v>0</v>
      </c>
      <c r="AE7" s="48">
        <f aca="true" t="shared" si="2" ref="AE7:AE13">COUNTIF($AN$7:$AO$48,$AB7&amp;"_t")</f>
        <v>0</v>
      </c>
      <c r="AF7" s="48">
        <f aca="true" t="shared" si="3" ref="AF7:AF13">COUNTIF($AN$7:$AO$48,$AB7&amp;"_l")</f>
        <v>0</v>
      </c>
      <c r="AH7" s="48">
        <f aca="true" t="shared" si="4" ref="AH7:AH13">SUMIF($E$7:$E$48,AB7,$AR$7:$AR$48)-SUMIF($M$7:$M$48,AB7,$AR$7:$AR$48)</f>
        <v>0</v>
      </c>
      <c r="AI7" s="48">
        <f>AD7*2+AE7</f>
        <v>0</v>
      </c>
      <c r="AK7" s="48">
        <v>40592.89583333333</v>
      </c>
      <c r="AL7" s="48">
        <f aca="true" t="shared" si="5" ref="AL7:AL48">AK7+gmt_delta</f>
        <v>40593.52083333333</v>
      </c>
      <c r="AM7" s="48">
        <f aca="true" t="shared" si="6" ref="AM7:AM48">IF(OR(F7=0,H7=0,J7=0,L7=0,),IF(F7+H7+J7+L7&gt;0,0,""),F7-J7)</f>
      </c>
      <c r="AN7" s="52">
        <f aca="true" t="shared" si="7" ref="AN7:AN48">IF(AM7="","",IF(AM7&gt;0,E7&amp;"_w",IF(AM7&lt;0,E7&amp;"_l",E7&amp;"_t")))</f>
      </c>
      <c r="AO7" s="52">
        <f aca="true" t="shared" si="8" ref="AO7:AO48">IF(AM7="","",IF(AM7&lt;0,M7&amp;"_w",IF(AM7&gt;0,M7&amp;"_l",M7&amp;"_t")))</f>
      </c>
      <c r="AP7" s="48">
        <f aca="true" t="shared" si="9" ref="AP7:AP48">IF(OR(AM7="",AM7=0),"",F7/H7)</f>
      </c>
      <c r="AQ7" s="48">
        <f aca="true" t="shared" si="10" ref="AQ7:AQ48">IF(OR(AM7="",AM7=0),"",J7/L7)</f>
      </c>
      <c r="AR7" s="48">
        <f>IF(OR(AM7="",AM7=0),"",AP7-AQ7)</f>
      </c>
      <c r="AT7" s="49" t="s">
        <v>26</v>
      </c>
    </row>
    <row r="8" spans="1:46" ht="11.25">
      <c r="A8" s="28">
        <v>2</v>
      </c>
      <c r="B8" s="28" t="str">
        <f>INDEX(T,18+WEEKDAY(AL8,1),lang)</f>
        <v>Sun</v>
      </c>
      <c r="C8" s="29" t="str">
        <f>DAY(AL8)&amp;" "&amp;INDEX(T,6+MONTH(AL8),lang)&amp;" 2011"</f>
        <v>20 Feb 2011</v>
      </c>
      <c r="D8" s="32">
        <f aca="true" t="shared" si="11" ref="D8:D48">TIME(HOUR(AL8),MINUTE(AL8),0)</f>
        <v>0.3333333333333333</v>
      </c>
      <c r="E8" s="30" t="str">
        <f>INDEX(T,29,lang)</f>
        <v>New Zealand</v>
      </c>
      <c r="F8" s="55"/>
      <c r="G8" s="55"/>
      <c r="H8" s="55"/>
      <c r="I8" s="61" t="s">
        <v>123</v>
      </c>
      <c r="J8" s="55"/>
      <c r="K8" s="55"/>
      <c r="L8" s="55"/>
      <c r="M8" s="31" t="s">
        <v>3</v>
      </c>
      <c r="N8" s="31">
        <f>IF(AM8="","",IF(AM8=0,INDEX(T,53,lang),IF(AM8&gt;0,E8,M8)&amp;" "&amp;INDEX(T,52,lang)&amp;" "&amp;IF(I8="--&gt;",IF(AM8&lt;0,-AM8&amp;" "&amp;LOWER(INDEX(T,40,lang)),(10-G8)&amp;" "&amp;LOWER(INDEX(T,70,lang))),IF(AM8&gt;0,AM8&amp;" "&amp;LOWER(INDEX(T,40,lang)),(10-K8)&amp;" "&amp;LOWER(INDEX(T,70,lang))))))</f>
      </c>
      <c r="O8" s="31" t="str">
        <f>INDEX(T,57,lang)</f>
        <v>Chennai</v>
      </c>
      <c r="Q8" s="33" t="str">
        <f>VLOOKUP(1,$Z$7:$AI$13,3,FALSE)</f>
        <v>Zimbabwe</v>
      </c>
      <c r="R8" s="34">
        <f>VLOOKUP(1,$Z$7:$AI$13,4,FALSE)</f>
        <v>0</v>
      </c>
      <c r="S8" s="34">
        <f>VLOOKUP(1,$Z$7:$AI$13,5,FALSE)</f>
        <v>0</v>
      </c>
      <c r="T8" s="34">
        <f>VLOOKUP(1,$Z$7:$AI$13,6,FALSE)</f>
        <v>0</v>
      </c>
      <c r="U8" s="34">
        <f>VLOOKUP(1,$Z$7:$AI$13,7,FALSE)</f>
        <v>0</v>
      </c>
      <c r="V8" s="34"/>
      <c r="W8" s="35">
        <f>VLOOKUP(1,$Z$7:$AI$13,9,FALSE)</f>
        <v>0</v>
      </c>
      <c r="X8" s="36">
        <f>VLOOKUP(1,$Z$7:$AI$13,10,FALSE)</f>
        <v>0</v>
      </c>
      <c r="Z8" s="48">
        <f aca="true" t="shared" si="12" ref="Z8:Z13">COUNTIF($AA$7:$AA$13,"&gt;="&amp;AA8)</f>
        <v>6</v>
      </c>
      <c r="AA8" s="48">
        <f aca="true" t="shared" si="13" ref="AA8:AA13">AI8*100+AH8+ROW()/1000</f>
        <v>0.008</v>
      </c>
      <c r="AB8" s="49" t="s">
        <v>2</v>
      </c>
      <c r="AC8" s="48">
        <f t="shared" si="0"/>
        <v>0</v>
      </c>
      <c r="AD8" s="48">
        <f t="shared" si="1"/>
        <v>0</v>
      </c>
      <c r="AE8" s="48">
        <f t="shared" si="2"/>
        <v>0</v>
      </c>
      <c r="AF8" s="48">
        <f t="shared" si="3"/>
        <v>0</v>
      </c>
      <c r="AH8" s="48">
        <f t="shared" si="4"/>
        <v>0</v>
      </c>
      <c r="AI8" s="48">
        <f aca="true" t="shared" si="14" ref="AI8:AI13">AD8*2+AE8</f>
        <v>0</v>
      </c>
      <c r="AK8" s="48">
        <v>40593.70833333333</v>
      </c>
      <c r="AL8" s="48">
        <f t="shared" si="5"/>
        <v>40594.33333333333</v>
      </c>
      <c r="AM8" s="48">
        <f t="shared" si="6"/>
      </c>
      <c r="AN8" s="52">
        <f t="shared" si="7"/>
      </c>
      <c r="AO8" s="52">
        <f t="shared" si="8"/>
      </c>
      <c r="AP8" s="48">
        <f t="shared" si="9"/>
      </c>
      <c r="AQ8" s="48">
        <f t="shared" si="10"/>
      </c>
      <c r="AR8" s="48">
        <f aca="true" t="shared" si="15" ref="AR8:AR48">IF(OR(AM8="",AM8=0),"",AP8-AQ8)</f>
      </c>
      <c r="AT8" s="49" t="s">
        <v>9</v>
      </c>
    </row>
    <row r="9" spans="1:46" ht="11.25">
      <c r="A9" s="28">
        <v>3</v>
      </c>
      <c r="B9" s="28" t="str">
        <f>INDEX(T,18+WEEKDAY(AL9,1),lang)</f>
        <v>Sun</v>
      </c>
      <c r="C9" s="29" t="str">
        <f>DAY(AL9)&amp;" "&amp;INDEX(T,6+MONTH(AL9),lang)&amp;" 2011"</f>
        <v>20 Feb 2011</v>
      </c>
      <c r="D9" s="32">
        <f t="shared" si="11"/>
        <v>0.5208333333333334</v>
      </c>
      <c r="E9" s="30" t="str">
        <f>INDEX(T,31,lang)</f>
        <v>Sri Lanka</v>
      </c>
      <c r="F9" s="55"/>
      <c r="G9" s="55"/>
      <c r="H9" s="55"/>
      <c r="I9" s="61" t="s">
        <v>123</v>
      </c>
      <c r="J9" s="55"/>
      <c r="K9" s="55"/>
      <c r="L9" s="55"/>
      <c r="M9" s="31" t="str">
        <f>INDEX(T,27,lang)</f>
        <v>Canada</v>
      </c>
      <c r="N9" s="31">
        <f>IF(AM9="","",IF(AM9=0,INDEX(T,53,lang),IF(AM9&gt;0,E9,M9)&amp;" "&amp;INDEX(T,52,lang)&amp;" "&amp;IF(I9="--&gt;",IF(AM9&lt;0,-AM9&amp;" "&amp;LOWER(INDEX(T,40,lang)),(10-G9)&amp;" "&amp;LOWER(INDEX(T,70,lang))),IF(AM9&gt;0,AM9&amp;" "&amp;LOWER(INDEX(T,40,lang)),(10-K9)&amp;" "&amp;LOWER(INDEX(T,70,lang))))))</f>
      </c>
      <c r="O9" s="31" t="str">
        <f>INDEX(T,62,lang)</f>
        <v>Hambantota</v>
      </c>
      <c r="Q9" s="37" t="str">
        <f>VLOOKUP(2,$Z$7:$AI$13,3,FALSE)</f>
        <v>Sri Lanka</v>
      </c>
      <c r="R9" s="38">
        <f>VLOOKUP(2,$Z$7:$AI$13,4,FALSE)</f>
        <v>0</v>
      </c>
      <c r="S9" s="38">
        <f>VLOOKUP(2,$Z$7:$AI$13,5,FALSE)</f>
        <v>0</v>
      </c>
      <c r="T9" s="38">
        <f>VLOOKUP(2,$Z$7:$AI$13,6,FALSE)</f>
        <v>0</v>
      </c>
      <c r="U9" s="38">
        <f>VLOOKUP(2,$Z$7:$AI$13,7,FALSE)</f>
        <v>0</v>
      </c>
      <c r="V9" s="38"/>
      <c r="W9" s="39">
        <f>VLOOKUP(2,$Z$7:$AI$13,9,FALSE)</f>
        <v>0</v>
      </c>
      <c r="X9" s="40">
        <f>VLOOKUP(2,$Z$7:$AI$13,10,FALSE)</f>
        <v>0</v>
      </c>
      <c r="Z9" s="48">
        <f t="shared" si="12"/>
        <v>5</v>
      </c>
      <c r="AA9" s="48">
        <f t="shared" si="13"/>
        <v>0.009</v>
      </c>
      <c r="AB9" s="49" t="s">
        <v>3</v>
      </c>
      <c r="AC9" s="48">
        <f t="shared" si="0"/>
        <v>0</v>
      </c>
      <c r="AD9" s="48">
        <f t="shared" si="1"/>
        <v>0</v>
      </c>
      <c r="AE9" s="48">
        <f t="shared" si="2"/>
        <v>0</v>
      </c>
      <c r="AF9" s="48">
        <f t="shared" si="3"/>
        <v>0</v>
      </c>
      <c r="AH9" s="48">
        <f t="shared" si="4"/>
        <v>0</v>
      </c>
      <c r="AI9" s="48">
        <f t="shared" si="14"/>
        <v>0</v>
      </c>
      <c r="AK9" s="48">
        <v>40593.89583333333</v>
      </c>
      <c r="AL9" s="48">
        <f t="shared" si="5"/>
        <v>40594.52083333333</v>
      </c>
      <c r="AM9" s="48">
        <f t="shared" si="6"/>
      </c>
      <c r="AN9" s="52">
        <f t="shared" si="7"/>
      </c>
      <c r="AO9" s="52">
        <f t="shared" si="8"/>
      </c>
      <c r="AP9" s="48">
        <f t="shared" si="9"/>
      </c>
      <c r="AQ9" s="48">
        <f t="shared" si="10"/>
      </c>
      <c r="AR9" s="48">
        <f t="shared" si="15"/>
      </c>
      <c r="AT9" s="49" t="s">
        <v>10</v>
      </c>
    </row>
    <row r="10" spans="1:46" ht="11.25">
      <c r="A10" s="28">
        <v>4</v>
      </c>
      <c r="B10" s="28" t="str">
        <f>INDEX(T,18+WEEKDAY(AL10,1),lang)</f>
        <v>Mon</v>
      </c>
      <c r="C10" s="29" t="str">
        <f>DAY(AL10)&amp;" "&amp;INDEX(T,6+MONTH(AL10),lang)&amp;" 2011"</f>
        <v>21 Feb 2011</v>
      </c>
      <c r="D10" s="32">
        <f t="shared" si="11"/>
        <v>0.5208333333333334</v>
      </c>
      <c r="E10" s="30" t="str">
        <f>INDEX(T,26,lang)</f>
        <v>Australia</v>
      </c>
      <c r="F10" s="55"/>
      <c r="G10" s="55"/>
      <c r="H10" s="55"/>
      <c r="I10" s="61" t="s">
        <v>123</v>
      </c>
      <c r="J10" s="55"/>
      <c r="K10" s="55"/>
      <c r="L10" s="55"/>
      <c r="M10" s="31" t="str">
        <f>INDEX(T,32,lang)</f>
        <v>Zimbabwe</v>
      </c>
      <c r="N10" s="31">
        <f>IF(AM10="","",IF(AM10=0,INDEX(T,53,lang),IF(AM10&gt;0,E10,M10)&amp;" "&amp;INDEX(T,52,lang)&amp;" "&amp;IF(I10="--&gt;",IF(AM10&lt;0,-AM10&amp;" "&amp;LOWER(INDEX(T,40,lang)),(10-G10)&amp;" "&amp;LOWER(INDEX(T,70,lang))),IF(AM10&gt;0,AM10&amp;" "&amp;LOWER(INDEX(T,40,lang)),(10-K10)&amp;" "&amp;LOWER(INDEX(T,70,lang))))))</f>
      </c>
      <c r="O10" s="31" t="str">
        <f>INDEX(T,54,lang)</f>
        <v>Ahmedabad</v>
      </c>
      <c r="Q10" s="37" t="str">
        <f>VLOOKUP(3,$Z$7:$AI$13,3,FALSE)</f>
        <v>Pakistan</v>
      </c>
      <c r="R10" s="38">
        <f>VLOOKUP(3,$Z$7:$AI$13,4,FALSE)</f>
        <v>0</v>
      </c>
      <c r="S10" s="38">
        <f>VLOOKUP(3,$Z$7:$AI$13,5,FALSE)</f>
        <v>0</v>
      </c>
      <c r="T10" s="38">
        <f>VLOOKUP(3,$Z$7:$AI$13,6,FALSE)</f>
        <v>0</v>
      </c>
      <c r="U10" s="38">
        <f>VLOOKUP(3,$Z$7:$AI$13,7,FALSE)</f>
        <v>0</v>
      </c>
      <c r="V10" s="38"/>
      <c r="W10" s="39">
        <f>VLOOKUP(3,$Z$7:$AI$13,9,FALSE)</f>
        <v>0</v>
      </c>
      <c r="X10" s="40">
        <f>VLOOKUP(3,$Z$7:$AI$13,10,FALSE)</f>
        <v>0</v>
      </c>
      <c r="Z10" s="48">
        <f t="shared" si="12"/>
        <v>4</v>
      </c>
      <c r="AA10" s="48">
        <f t="shared" si="13"/>
        <v>0.01</v>
      </c>
      <c r="AB10" s="49" t="s">
        <v>4</v>
      </c>
      <c r="AC10" s="48">
        <f t="shared" si="0"/>
        <v>0</v>
      </c>
      <c r="AD10" s="48">
        <f t="shared" si="1"/>
        <v>0</v>
      </c>
      <c r="AE10" s="48">
        <f t="shared" si="2"/>
        <v>0</v>
      </c>
      <c r="AF10" s="48">
        <f t="shared" si="3"/>
        <v>0</v>
      </c>
      <c r="AH10" s="48">
        <f t="shared" si="4"/>
        <v>0</v>
      </c>
      <c r="AI10" s="48">
        <f t="shared" si="14"/>
        <v>0</v>
      </c>
      <c r="AK10" s="48">
        <v>40594.89583333333</v>
      </c>
      <c r="AL10" s="48">
        <f t="shared" si="5"/>
        <v>40595.52083333333</v>
      </c>
      <c r="AM10" s="48">
        <f t="shared" si="6"/>
      </c>
      <c r="AN10" s="52">
        <f t="shared" si="7"/>
      </c>
      <c r="AO10" s="52">
        <f t="shared" si="8"/>
      </c>
      <c r="AP10" s="48">
        <f t="shared" si="9"/>
      </c>
      <c r="AQ10" s="48">
        <f t="shared" si="10"/>
      </c>
      <c r="AR10" s="48">
        <f t="shared" si="15"/>
      </c>
      <c r="AT10" s="49" t="s">
        <v>11</v>
      </c>
    </row>
    <row r="11" spans="1:46" ht="11.25">
      <c r="A11" s="28">
        <v>5</v>
      </c>
      <c r="B11" s="28" t="str">
        <f>INDEX(T,18+WEEKDAY(AL11,1),lang)</f>
        <v>Tue</v>
      </c>
      <c r="C11" s="29" t="str">
        <f>DAY(AL11)&amp;" "&amp;INDEX(T,6+MONTH(AL11),lang)&amp;" 2011"</f>
        <v>22 Feb 2011</v>
      </c>
      <c r="D11" s="32">
        <f t="shared" si="11"/>
        <v>0.5208333333333334</v>
      </c>
      <c r="E11" s="30" t="str">
        <f>INDEX(T,34,lang)</f>
        <v>England</v>
      </c>
      <c r="F11" s="55"/>
      <c r="G11" s="55"/>
      <c r="H11" s="55"/>
      <c r="I11" s="61" t="s">
        <v>123</v>
      </c>
      <c r="J11" s="55"/>
      <c r="K11" s="55"/>
      <c r="L11" s="55"/>
      <c r="M11" s="31" t="str">
        <f>INDEX(T,37,lang)</f>
        <v>Netherlands</v>
      </c>
      <c r="N11" s="31">
        <f>IF(AM11="","",IF(AM11=0,INDEX(T,53,lang),IF(AM11&gt;0,E11,M11)&amp;" "&amp;INDEX(T,52,lang)&amp;" "&amp;IF(I11="--&gt;",IF(AM11&lt;0,-AM11&amp;" "&amp;LOWER(INDEX(T,40,lang)),(10-G11)&amp;" "&amp;LOWER(INDEX(T,70,lang))),IF(AM11&gt;0,AM11&amp;" "&amp;LOWER(INDEX(T,40,lang)),(10-K11)&amp;" "&amp;LOWER(INDEX(T,70,lang))))))</f>
      </c>
      <c r="O11" s="31" t="str">
        <f>INDEX(T,67,lang)</f>
        <v>Nagpur</v>
      </c>
      <c r="Q11" s="37" t="str">
        <f>VLOOKUP(4,$Z$7:$AI$13,3,FALSE)</f>
        <v>New Zealand</v>
      </c>
      <c r="R11" s="38">
        <f>VLOOKUP(4,$Z$7:$AI$13,4,FALSE)</f>
        <v>0</v>
      </c>
      <c r="S11" s="38">
        <f>VLOOKUP(4,$Z$7:$AI$13,5,FALSE)</f>
        <v>0</v>
      </c>
      <c r="T11" s="38">
        <f>VLOOKUP(4,$Z$7:$AI$13,6,FALSE)</f>
        <v>0</v>
      </c>
      <c r="U11" s="38">
        <f>VLOOKUP(4,$Z$7:$AI$13,7,FALSE)</f>
        <v>0</v>
      </c>
      <c r="V11" s="38"/>
      <c r="W11" s="39">
        <f>VLOOKUP(4,$Z$7:$AI$13,9,FALSE)</f>
        <v>0</v>
      </c>
      <c r="X11" s="40">
        <f>VLOOKUP(4,$Z$7:$AI$13,10,FALSE)</f>
        <v>0</v>
      </c>
      <c r="Z11" s="48">
        <f t="shared" si="12"/>
        <v>3</v>
      </c>
      <c r="AA11" s="48">
        <f t="shared" si="13"/>
        <v>0.011</v>
      </c>
      <c r="AB11" s="49" t="s">
        <v>5</v>
      </c>
      <c r="AC11" s="48">
        <f t="shared" si="0"/>
        <v>0</v>
      </c>
      <c r="AD11" s="48">
        <f t="shared" si="1"/>
        <v>0</v>
      </c>
      <c r="AE11" s="48">
        <f t="shared" si="2"/>
        <v>0</v>
      </c>
      <c r="AF11" s="48">
        <f t="shared" si="3"/>
        <v>0</v>
      </c>
      <c r="AH11" s="48">
        <f t="shared" si="4"/>
        <v>0</v>
      </c>
      <c r="AI11" s="48">
        <f t="shared" si="14"/>
        <v>0</v>
      </c>
      <c r="AK11" s="48">
        <v>40595.89583333333</v>
      </c>
      <c r="AL11" s="48">
        <f t="shared" si="5"/>
        <v>40596.52083333333</v>
      </c>
      <c r="AM11" s="48">
        <f t="shared" si="6"/>
      </c>
      <c r="AN11" s="52">
        <f t="shared" si="7"/>
      </c>
      <c r="AO11" s="52">
        <f t="shared" si="8"/>
      </c>
      <c r="AP11" s="48">
        <f t="shared" si="9"/>
      </c>
      <c r="AQ11" s="48">
        <f t="shared" si="10"/>
      </c>
      <c r="AR11" s="48">
        <f t="shared" si="15"/>
      </c>
      <c r="AT11" s="49" t="s">
        <v>12</v>
      </c>
    </row>
    <row r="12" spans="1:46" ht="11.25">
      <c r="A12" s="28">
        <v>6</v>
      </c>
      <c r="B12" s="28" t="str">
        <f>INDEX(T,18+WEEKDAY(AL12,1),lang)</f>
        <v>Wed</v>
      </c>
      <c r="C12" s="29" t="str">
        <f>DAY(AL12)&amp;" "&amp;INDEX(T,6+MONTH(AL12),lang)&amp;" 2011"</f>
        <v>23 Feb 2011</v>
      </c>
      <c r="D12" s="32">
        <f t="shared" si="11"/>
        <v>0.5208333333333334</v>
      </c>
      <c r="E12" s="30" t="str">
        <f>INDEX(T,30,lang)</f>
        <v>Pakistan</v>
      </c>
      <c r="F12" s="55"/>
      <c r="G12" s="55"/>
      <c r="H12" s="55"/>
      <c r="I12" s="61" t="s">
        <v>123</v>
      </c>
      <c r="J12" s="55"/>
      <c r="K12" s="55"/>
      <c r="L12" s="55"/>
      <c r="M12" s="31" t="str">
        <f>INDEX(T,28,lang)</f>
        <v>Kenya</v>
      </c>
      <c r="N12" s="31">
        <f>IF(AM12="","",IF(AM12=0,INDEX(T,53,lang),IF(AM12&gt;0,E12,M12)&amp;" "&amp;INDEX(T,52,lang)&amp;" "&amp;IF(I12="--&gt;",IF(AM12&lt;0,-AM12&amp;" "&amp;LOWER(INDEX(T,40,lang)),(10-G12)&amp;" "&amp;LOWER(INDEX(T,70,lang))),IF(AM12&gt;0,AM12&amp;" "&amp;LOWER(INDEX(T,40,lang)),(10-K12)&amp;" "&amp;LOWER(INDEX(T,70,lang))))))</f>
      </c>
      <c r="O12" s="31" t="str">
        <f>INDEX(T,62,lang)</f>
        <v>Hambantota</v>
      </c>
      <c r="Q12" s="37" t="str">
        <f>VLOOKUP(5,$Z$7:$AI$13,3,FALSE)</f>
        <v>Kenya</v>
      </c>
      <c r="R12" s="38">
        <f>VLOOKUP(5,$Z$7:$AI$13,4,FALSE)</f>
        <v>0</v>
      </c>
      <c r="S12" s="38">
        <f>VLOOKUP(5,$Z$7:$AI$13,5,FALSE)</f>
        <v>0</v>
      </c>
      <c r="T12" s="38">
        <f>VLOOKUP(5,$Z$7:$AI$13,6,FALSE)</f>
        <v>0</v>
      </c>
      <c r="U12" s="38">
        <f>VLOOKUP(5,$Z$7:$AI$13,7,FALSE)</f>
        <v>0</v>
      </c>
      <c r="V12" s="38"/>
      <c r="W12" s="39">
        <f>VLOOKUP(5,$Z$7:$AI$13,9,FALSE)</f>
        <v>0</v>
      </c>
      <c r="X12" s="40">
        <f>VLOOKUP(5,$Z$7:$AI$13,10,FALSE)</f>
        <v>0</v>
      </c>
      <c r="Z12" s="48">
        <f t="shared" si="12"/>
        <v>2</v>
      </c>
      <c r="AA12" s="48">
        <f t="shared" si="13"/>
        <v>0.012</v>
      </c>
      <c r="AB12" s="49" t="s">
        <v>6</v>
      </c>
      <c r="AC12" s="48">
        <f t="shared" si="0"/>
        <v>0</v>
      </c>
      <c r="AD12" s="48">
        <f t="shared" si="1"/>
        <v>0</v>
      </c>
      <c r="AE12" s="48">
        <f t="shared" si="2"/>
        <v>0</v>
      </c>
      <c r="AF12" s="48">
        <f t="shared" si="3"/>
        <v>0</v>
      </c>
      <c r="AH12" s="48">
        <f t="shared" si="4"/>
        <v>0</v>
      </c>
      <c r="AI12" s="48">
        <f t="shared" si="14"/>
        <v>0</v>
      </c>
      <c r="AK12" s="48">
        <v>40596.89583333333</v>
      </c>
      <c r="AL12" s="48">
        <f t="shared" si="5"/>
        <v>40597.52083333333</v>
      </c>
      <c r="AM12" s="48">
        <f t="shared" si="6"/>
      </c>
      <c r="AN12" s="52">
        <f t="shared" si="7"/>
      </c>
      <c r="AO12" s="52">
        <f t="shared" si="8"/>
      </c>
      <c r="AP12" s="48">
        <f t="shared" si="9"/>
      </c>
      <c r="AQ12" s="48">
        <f t="shared" si="10"/>
      </c>
      <c r="AR12" s="48">
        <f t="shared" si="15"/>
      </c>
      <c r="AT12" s="49" t="s">
        <v>10</v>
      </c>
    </row>
    <row r="13" spans="1:46" ht="11.25">
      <c r="A13" s="28">
        <v>7</v>
      </c>
      <c r="B13" s="28" t="str">
        <f>INDEX(T,18+WEEKDAY(AL13,1),lang)</f>
        <v>Thu</v>
      </c>
      <c r="C13" s="29" t="str">
        <f>DAY(AL13)&amp;" "&amp;INDEX(T,6+MONTH(AL13),lang)&amp;" 2011"</f>
        <v>24 Feb 2011</v>
      </c>
      <c r="D13" s="32">
        <f t="shared" si="11"/>
        <v>0.5208333333333334</v>
      </c>
      <c r="E13" s="30" t="str">
        <f>INDEX(T,38,lang)</f>
        <v>South Africa</v>
      </c>
      <c r="F13" s="55"/>
      <c r="G13" s="55"/>
      <c r="H13" s="55"/>
      <c r="I13" s="61" t="s">
        <v>123</v>
      </c>
      <c r="J13" s="55"/>
      <c r="K13" s="55"/>
      <c r="L13" s="55"/>
      <c r="M13" s="31" t="str">
        <f>INDEX(T,39,lang)</f>
        <v>West Indies</v>
      </c>
      <c r="N13" s="31">
        <f>IF(AM13="","",IF(AM13=0,INDEX(T,53,lang),IF(AM13&gt;0,E13,M13)&amp;" "&amp;INDEX(T,52,lang)&amp;" "&amp;IF(I13="--&gt;",IF(AM13&lt;0,-AM13&amp;" "&amp;LOWER(INDEX(T,40,lang)),(10-G13)&amp;" "&amp;LOWER(INDEX(T,70,lang))),IF(AM13&gt;0,AM13&amp;" "&amp;LOWER(INDEX(T,40,lang)),(10-K13)&amp;" "&amp;LOWER(INDEX(T,70,lang))))))</f>
      </c>
      <c r="O13" s="31" t="str">
        <f>INDEX(T,68,lang)</f>
        <v>New Delhi</v>
      </c>
      <c r="Q13" s="37" t="str">
        <f>VLOOKUP(6,$Z$7:$AI$13,3,FALSE)</f>
        <v>Canada</v>
      </c>
      <c r="R13" s="38">
        <f>VLOOKUP(6,$Z$7:$AI$13,4,FALSE)</f>
        <v>0</v>
      </c>
      <c r="S13" s="38">
        <f>VLOOKUP(6,$Z$7:$AI$13,5,FALSE)</f>
        <v>0</v>
      </c>
      <c r="T13" s="38">
        <f>VLOOKUP(6,$Z$7:$AI$13,6,FALSE)</f>
        <v>0</v>
      </c>
      <c r="U13" s="38">
        <f>VLOOKUP(6,$Z$7:$AI$13,7,FALSE)</f>
        <v>0</v>
      </c>
      <c r="V13" s="38"/>
      <c r="W13" s="39">
        <f>VLOOKUP(6,$Z$7:$AI$13,9,FALSE)</f>
        <v>0</v>
      </c>
      <c r="X13" s="40">
        <f>VLOOKUP(6,$Z$7:$AI$13,10,FALSE)</f>
        <v>0</v>
      </c>
      <c r="Z13" s="48">
        <f t="shared" si="12"/>
        <v>1</v>
      </c>
      <c r="AA13" s="48">
        <f t="shared" si="13"/>
        <v>0.013</v>
      </c>
      <c r="AB13" s="49" t="s">
        <v>7</v>
      </c>
      <c r="AC13" s="48">
        <f t="shared" si="0"/>
        <v>0</v>
      </c>
      <c r="AD13" s="48">
        <f t="shared" si="1"/>
        <v>0</v>
      </c>
      <c r="AE13" s="48">
        <f t="shared" si="2"/>
        <v>0</v>
      </c>
      <c r="AF13" s="48">
        <f t="shared" si="3"/>
        <v>0</v>
      </c>
      <c r="AH13" s="48">
        <f t="shared" si="4"/>
        <v>0</v>
      </c>
      <c r="AI13" s="48">
        <f t="shared" si="14"/>
        <v>0</v>
      </c>
      <c r="AK13" s="48">
        <v>40597.89583333333</v>
      </c>
      <c r="AL13" s="48">
        <f t="shared" si="5"/>
        <v>40598.52083333333</v>
      </c>
      <c r="AM13" s="48">
        <f t="shared" si="6"/>
      </c>
      <c r="AN13" s="52">
        <f t="shared" si="7"/>
      </c>
      <c r="AO13" s="52">
        <f t="shared" si="8"/>
      </c>
      <c r="AP13" s="48">
        <f t="shared" si="9"/>
      </c>
      <c r="AQ13" s="48">
        <f t="shared" si="10"/>
      </c>
      <c r="AR13" s="48">
        <f t="shared" si="15"/>
      </c>
      <c r="AT13" s="49" t="s">
        <v>27</v>
      </c>
    </row>
    <row r="14" spans="1:46" ht="11.25">
      <c r="A14" s="28">
        <v>8</v>
      </c>
      <c r="B14" s="28" t="str">
        <f>INDEX(T,18+WEEKDAY(AL14,1),lang)</f>
        <v>Fri</v>
      </c>
      <c r="C14" s="29" t="str">
        <f>DAY(AL14)&amp;" "&amp;INDEX(T,6+MONTH(AL14),lang)&amp;" 2011"</f>
        <v>25 Feb 2011</v>
      </c>
      <c r="D14" s="32">
        <f t="shared" si="11"/>
        <v>0.5208333333333334</v>
      </c>
      <c r="E14" s="30" t="str">
        <f>INDEX(T,29,lang)</f>
        <v>New Zealand</v>
      </c>
      <c r="F14" s="55"/>
      <c r="G14" s="55"/>
      <c r="H14" s="55"/>
      <c r="I14" s="61" t="s">
        <v>123</v>
      </c>
      <c r="J14" s="55"/>
      <c r="K14" s="55"/>
      <c r="L14" s="55"/>
      <c r="M14" s="31" t="str">
        <f>INDEX(T,26,lang)</f>
        <v>Australia</v>
      </c>
      <c r="N14" s="31">
        <f>IF(AM14="","",IF(AM14=0,INDEX(T,53,lang),IF(AM14&gt;0,E14,M14)&amp;" "&amp;INDEX(T,52,lang)&amp;" "&amp;IF(I14="--&gt;",IF(AM14&lt;0,-AM14&amp;" "&amp;LOWER(INDEX(T,40,lang)),(10-G14)&amp;" "&amp;LOWER(INDEX(T,70,lang))),IF(AM14&gt;0,AM14&amp;" "&amp;LOWER(INDEX(T,40,lang)),(10-K14)&amp;" "&amp;LOWER(INDEX(T,70,lang))))))</f>
      </c>
      <c r="O14" s="31" t="str">
        <f>INDEX(T,67,lang)</f>
        <v>Nagpur</v>
      </c>
      <c r="Q14" s="41" t="str">
        <f>VLOOKUP(7,$Z$7:$AI$13,3,FALSE)</f>
        <v>Australia</v>
      </c>
      <c r="R14" s="42">
        <f>VLOOKUP(7,$Z$7:$AI$13,4,FALSE)</f>
        <v>0</v>
      </c>
      <c r="S14" s="42">
        <f>VLOOKUP(7,$Z$7:$AI$13,5,FALSE)</f>
        <v>0</v>
      </c>
      <c r="T14" s="42">
        <f>VLOOKUP(7,$Z$7:$AI$13,6,FALSE)</f>
        <v>0</v>
      </c>
      <c r="U14" s="42">
        <f>VLOOKUP(7,$Z$7:$AI$13,7,FALSE)</f>
        <v>0</v>
      </c>
      <c r="V14" s="42"/>
      <c r="W14" s="43">
        <f>VLOOKUP(7,$Z$7:$AI$13,9,FALSE)</f>
        <v>0</v>
      </c>
      <c r="X14" s="44">
        <f>VLOOKUP(7,$Z$7:$AI$13,10,FALSE)</f>
        <v>0</v>
      </c>
      <c r="AK14" s="48">
        <v>40598.89583333333</v>
      </c>
      <c r="AL14" s="48">
        <f t="shared" si="5"/>
        <v>40599.52083333333</v>
      </c>
      <c r="AM14" s="48">
        <f t="shared" si="6"/>
      </c>
      <c r="AN14" s="52">
        <f t="shared" si="7"/>
      </c>
      <c r="AO14" s="52">
        <f t="shared" si="8"/>
      </c>
      <c r="AP14" s="48">
        <f t="shared" si="9"/>
      </c>
      <c r="AQ14" s="48">
        <f t="shared" si="10"/>
      </c>
      <c r="AR14" s="48">
        <f t="shared" si="15"/>
      </c>
      <c r="AT14" s="49" t="s">
        <v>12</v>
      </c>
    </row>
    <row r="15" spans="1:46" ht="11.25">
      <c r="A15" s="28">
        <v>9</v>
      </c>
      <c r="B15" s="28" t="str">
        <f>INDEX(T,18+WEEKDAY(AL15,1),lang)</f>
        <v>Fri</v>
      </c>
      <c r="C15" s="29" t="str">
        <f>DAY(AL15)&amp;" "&amp;INDEX(T,6+MONTH(AL15),lang)&amp;" 2011"</f>
        <v>25 Feb 2011</v>
      </c>
      <c r="D15" s="32">
        <f t="shared" si="11"/>
        <v>0.3333333333333333</v>
      </c>
      <c r="E15" s="30" t="str">
        <f>INDEX(T,33,lang)</f>
        <v>Bangladesh</v>
      </c>
      <c r="F15" s="55"/>
      <c r="G15" s="55"/>
      <c r="H15" s="55"/>
      <c r="I15" s="61" t="s">
        <v>123</v>
      </c>
      <c r="J15" s="55"/>
      <c r="K15" s="55"/>
      <c r="L15" s="55"/>
      <c r="M15" s="31" t="str">
        <f>INDEX(T,36,lang)</f>
        <v>Ireland</v>
      </c>
      <c r="N15" s="31">
        <f>IF(AM15="","",IF(AM15=0,INDEX(T,53,lang),IF(AM15&gt;0,E15,M15)&amp;" "&amp;INDEX(T,52,lang)&amp;" "&amp;IF(I15="--&gt;",IF(AM15&lt;0,-AM15&amp;" "&amp;LOWER(INDEX(T,40,lang)),(10-G15)&amp;" "&amp;LOWER(INDEX(T,70,lang))),IF(AM15&gt;0,AM15&amp;" "&amp;LOWER(INDEX(T,40,lang)),(10-K15)&amp;" "&amp;LOWER(INDEX(T,70,lang))))))</f>
      </c>
      <c r="O15" s="31" t="str">
        <f>INDEX(T,61,lang)</f>
        <v>Dhaka</v>
      </c>
      <c r="AK15" s="48">
        <v>40598.70833333333</v>
      </c>
      <c r="AL15" s="48">
        <f t="shared" si="5"/>
        <v>40599.33333333333</v>
      </c>
      <c r="AM15" s="48">
        <f t="shared" si="6"/>
      </c>
      <c r="AN15" s="52">
        <f t="shared" si="7"/>
      </c>
      <c r="AO15" s="52">
        <f t="shared" si="8"/>
      </c>
      <c r="AP15" s="48">
        <f t="shared" si="9"/>
      </c>
      <c r="AQ15" s="48">
        <f t="shared" si="10"/>
      </c>
      <c r="AR15" s="48">
        <f t="shared" si="15"/>
      </c>
      <c r="AT15" s="49" t="s">
        <v>26</v>
      </c>
    </row>
    <row r="16" spans="1:46" ht="11.25">
      <c r="A16" s="28">
        <v>10</v>
      </c>
      <c r="B16" s="28" t="str">
        <f>INDEX(T,18+WEEKDAY(AL16,1),lang)</f>
        <v>Sat</v>
      </c>
      <c r="C16" s="29" t="str">
        <f>DAY(AL16)&amp;" "&amp;INDEX(T,6+MONTH(AL16),lang)&amp;" 2011"</f>
        <v>26 Feb 2011</v>
      </c>
      <c r="D16" s="32">
        <f t="shared" si="11"/>
        <v>0.5208333333333334</v>
      </c>
      <c r="E16" s="30" t="str">
        <f>INDEX(T,31,lang)</f>
        <v>Sri Lanka</v>
      </c>
      <c r="F16" s="55"/>
      <c r="G16" s="55"/>
      <c r="H16" s="55"/>
      <c r="I16" s="61" t="s">
        <v>123</v>
      </c>
      <c r="J16" s="55"/>
      <c r="K16" s="55"/>
      <c r="L16" s="55"/>
      <c r="M16" s="31" t="str">
        <f>INDEX(T,30,lang)</f>
        <v>Pakistan</v>
      </c>
      <c r="N16" s="31">
        <f>IF(AM16="","",IF(AM16=0,INDEX(T,53,lang),IF(AM16&gt;0,E16,M16)&amp;" "&amp;INDEX(T,52,lang)&amp;" "&amp;IF(I16="--&gt;",IF(AM16&lt;0,-AM16&amp;" "&amp;LOWER(INDEX(T,40,lang)),(10-G16)&amp;" "&amp;LOWER(INDEX(T,70,lang))),IF(AM16&gt;0,AM16&amp;" "&amp;LOWER(INDEX(T,40,lang)),(10-K16)&amp;" "&amp;LOWER(INDEX(T,70,lang))))))</f>
      </c>
      <c r="O16" s="31" t="str">
        <f>INDEX(T,59,lang)</f>
        <v>Colombo</v>
      </c>
      <c r="AK16" s="48">
        <v>40599.89583333333</v>
      </c>
      <c r="AL16" s="48">
        <f t="shared" si="5"/>
        <v>40600.52083333333</v>
      </c>
      <c r="AM16" s="48">
        <f t="shared" si="6"/>
      </c>
      <c r="AN16" s="52">
        <f t="shared" si="7"/>
      </c>
      <c r="AO16" s="52">
        <f t="shared" si="8"/>
      </c>
      <c r="AP16" s="48">
        <f t="shared" si="9"/>
      </c>
      <c r="AQ16" s="48">
        <f t="shared" si="10"/>
      </c>
      <c r="AR16" s="48">
        <f t="shared" si="15"/>
      </c>
      <c r="AT16" s="49" t="s">
        <v>13</v>
      </c>
    </row>
    <row r="17" spans="1:46" ht="11.25">
      <c r="A17" s="28">
        <v>11</v>
      </c>
      <c r="B17" s="28" t="str">
        <f>INDEX(T,18+WEEKDAY(AL17,1),lang)</f>
        <v>Sun</v>
      </c>
      <c r="C17" s="29" t="str">
        <f>DAY(AL17)&amp;" "&amp;INDEX(T,6+MONTH(AL17),lang)&amp;" 2011"</f>
        <v>27 Feb 2011</v>
      </c>
      <c r="D17" s="32">
        <f t="shared" si="11"/>
        <v>0.5208333333333334</v>
      </c>
      <c r="E17" s="30" t="str">
        <f>INDEX(T,35,lang)</f>
        <v>India</v>
      </c>
      <c r="F17" s="55"/>
      <c r="G17" s="55"/>
      <c r="H17" s="55"/>
      <c r="I17" s="61" t="s">
        <v>123</v>
      </c>
      <c r="J17" s="55"/>
      <c r="K17" s="55"/>
      <c r="L17" s="55"/>
      <c r="M17" s="31" t="str">
        <f>INDEX(T,34,lang)</f>
        <v>England</v>
      </c>
      <c r="N17" s="31">
        <f>IF(AM17="","",IF(AM17=0,INDEX(T,53,lang),IF(AM17&gt;0,E17,M17)&amp;" "&amp;INDEX(T,52,lang)&amp;" "&amp;IF(I17="--&gt;",IF(AM17&lt;0,-AM17&amp;" "&amp;LOWER(INDEX(T,40,lang)),(10-G17)&amp;" "&amp;LOWER(INDEX(T,70,lang))),IF(AM17&gt;0,AM17&amp;" "&amp;LOWER(INDEX(T,40,lang)),(10-K17)&amp;" "&amp;LOWER(INDEX(T,70,lang))))))</f>
      </c>
      <c r="O17" s="31" t="str">
        <f>INDEX(T,64,lang)</f>
        <v>Kolkata</v>
      </c>
      <c r="Q17" s="45" t="str">
        <f>INDEX(T,42,lang)&amp;" B"</f>
        <v>Group B</v>
      </c>
      <c r="R17" s="46" t="str">
        <f>INDEX(T,44,lang)</f>
        <v>Pld</v>
      </c>
      <c r="S17" s="46" t="str">
        <f>INDEX(T,45,lang)</f>
        <v>W</v>
      </c>
      <c r="T17" s="46" t="str">
        <f>INDEX(T,46,lang)</f>
        <v>T</v>
      </c>
      <c r="U17" s="46" t="str">
        <f>INDEX(T,47,lang)</f>
        <v>L</v>
      </c>
      <c r="V17" s="46"/>
      <c r="W17" s="46" t="str">
        <f>INDEX(T,49,lang)</f>
        <v>NRR</v>
      </c>
      <c r="X17" s="47" t="str">
        <f>INDEX(T,50,lang)</f>
        <v>Pts</v>
      </c>
      <c r="Z17" s="48">
        <f>COUNTIF($AA$17:$AA$23,"&gt;="&amp;AA17)</f>
        <v>7</v>
      </c>
      <c r="AA17" s="48">
        <f>AI17*100+AH17+ROW()/1000</f>
        <v>0.017</v>
      </c>
      <c r="AB17" s="49" t="s">
        <v>19</v>
      </c>
      <c r="AC17" s="48">
        <f>AD17+AE17+AF17</f>
        <v>0</v>
      </c>
      <c r="AD17" s="48">
        <f aca="true" t="shared" si="16" ref="AD17:AD23">COUNTIF($AN$7:$AO$48,$AB17&amp;"_w")</f>
        <v>0</v>
      </c>
      <c r="AE17" s="48">
        <f aca="true" t="shared" si="17" ref="AE17:AE23">COUNTIF($AN$7:$AO$48,$AB17&amp;"_t")</f>
        <v>0</v>
      </c>
      <c r="AF17" s="48">
        <f aca="true" t="shared" si="18" ref="AF17:AF23">COUNTIF($AN$7:$AO$48,$AB17&amp;"_l")</f>
        <v>0</v>
      </c>
      <c r="AH17" s="48">
        <f aca="true" t="shared" si="19" ref="AH17:AH23">SUMIF($E$7:$E$48,AB17,$AR$7:$AR$48)-SUMIF($M$7:$M$48,AB17,$AR$7:$AR$48)</f>
        <v>0</v>
      </c>
      <c r="AI17" s="48">
        <f>AD17*2+AE17</f>
        <v>0</v>
      </c>
      <c r="AK17" s="48">
        <v>40600.89583333333</v>
      </c>
      <c r="AL17" s="48">
        <f t="shared" si="5"/>
        <v>40601.52083333333</v>
      </c>
      <c r="AM17" s="48">
        <f t="shared" si="6"/>
      </c>
      <c r="AN17" s="52">
        <f t="shared" si="7"/>
      </c>
      <c r="AO17" s="52">
        <f t="shared" si="8"/>
      </c>
      <c r="AP17" s="48">
        <f t="shared" si="9"/>
      </c>
      <c r="AQ17" s="48">
        <f t="shared" si="10"/>
      </c>
      <c r="AR17" s="48">
        <f t="shared" si="15"/>
      </c>
      <c r="AT17" s="49" t="s">
        <v>18</v>
      </c>
    </row>
    <row r="18" spans="1:46" ht="11.25">
      <c r="A18" s="28">
        <v>12</v>
      </c>
      <c r="B18" s="28" t="str">
        <f>INDEX(T,18+WEEKDAY(AL18,1),lang)</f>
        <v>Mon</v>
      </c>
      <c r="C18" s="29" t="str">
        <f>DAY(AL18)&amp;" "&amp;INDEX(T,6+MONTH(AL18),lang)&amp;" 2011"</f>
        <v>28 Feb 2011</v>
      </c>
      <c r="D18" s="32">
        <f t="shared" si="11"/>
        <v>0.5208333333333334</v>
      </c>
      <c r="E18" s="30" t="str">
        <f>INDEX(T,39,lang)</f>
        <v>West Indies</v>
      </c>
      <c r="F18" s="55"/>
      <c r="G18" s="55"/>
      <c r="H18" s="55"/>
      <c r="I18" s="61" t="s">
        <v>123</v>
      </c>
      <c r="J18" s="55"/>
      <c r="K18" s="55"/>
      <c r="L18" s="55"/>
      <c r="M18" s="31" t="str">
        <f>INDEX(T,37,lang)</f>
        <v>Netherlands</v>
      </c>
      <c r="N18" s="31">
        <f>IF(AM18="","",IF(AM18=0,INDEX(T,53,lang),IF(AM18&gt;0,E18,M18)&amp;" "&amp;INDEX(T,52,lang)&amp;" "&amp;IF(I18="--&gt;",IF(AM18&lt;0,-AM18&amp;" "&amp;LOWER(INDEX(T,40,lang)),(10-G18)&amp;" "&amp;LOWER(INDEX(T,70,lang))),IF(AM18&gt;0,AM18&amp;" "&amp;LOWER(INDEX(T,40,lang)),(10-K18)&amp;" "&amp;LOWER(INDEX(T,70,lang))))))</f>
      </c>
      <c r="O18" s="31" t="str">
        <f>INDEX(T,68,lang)</f>
        <v>New Delhi</v>
      </c>
      <c r="Q18" s="33" t="str">
        <f>VLOOKUP(1,$Z$17:$AI$23,3,FALSE)</f>
        <v>West Indies</v>
      </c>
      <c r="R18" s="34">
        <f>VLOOKUP(1,$Z$17:$AI$23,4,FALSE)</f>
        <v>0</v>
      </c>
      <c r="S18" s="34">
        <f>VLOOKUP(1,$Z$17:$AI$23,5,FALSE)</f>
        <v>0</v>
      </c>
      <c r="T18" s="34">
        <f>VLOOKUP(1,$Z$17:$AI$23,6,FALSE)</f>
        <v>0</v>
      </c>
      <c r="U18" s="34">
        <f>VLOOKUP(1,$Z$17:$AI$23,7,FALSE)</f>
        <v>0</v>
      </c>
      <c r="V18" s="34"/>
      <c r="W18" s="35">
        <f>VLOOKUP(1,$Z$17:$AI$23,9,FALSE)</f>
        <v>0</v>
      </c>
      <c r="X18" s="36">
        <f>VLOOKUP(1,$Z$17:$AI$23,10,FALSE)</f>
        <v>0</v>
      </c>
      <c r="Z18" s="48">
        <f aca="true" t="shared" si="20" ref="Z18:Z23">COUNTIF($AA$17:$AA$23,"&gt;="&amp;AA18)</f>
        <v>6</v>
      </c>
      <c r="AA18" s="48">
        <f aca="true" t="shared" si="21" ref="AA18:AA23">AI18*100+AH18+ROW()/1000</f>
        <v>0.018</v>
      </c>
      <c r="AB18" s="49" t="s">
        <v>20</v>
      </c>
      <c r="AC18" s="48">
        <f aca="true" t="shared" si="22" ref="AC18:AC23">AD18+AE18+AF18</f>
        <v>0</v>
      </c>
      <c r="AD18" s="48">
        <f t="shared" si="16"/>
        <v>0</v>
      </c>
      <c r="AE18" s="48">
        <f t="shared" si="17"/>
        <v>0</v>
      </c>
      <c r="AF18" s="48">
        <f t="shared" si="18"/>
        <v>0</v>
      </c>
      <c r="AH18" s="48">
        <f t="shared" si="19"/>
        <v>0</v>
      </c>
      <c r="AI18" s="48">
        <f aca="true" t="shared" si="23" ref="AI18:AI23">AD18*2+AE18</f>
        <v>0</v>
      </c>
      <c r="AK18" s="48">
        <v>40601.89583333333</v>
      </c>
      <c r="AL18" s="48">
        <f t="shared" si="5"/>
        <v>40602.52083333333</v>
      </c>
      <c r="AM18" s="48">
        <f t="shared" si="6"/>
      </c>
      <c r="AN18" s="52">
        <f t="shared" si="7"/>
      </c>
      <c r="AO18" s="52">
        <f t="shared" si="8"/>
      </c>
      <c r="AP18" s="48">
        <f t="shared" si="9"/>
      </c>
      <c r="AQ18" s="48">
        <f t="shared" si="10"/>
      </c>
      <c r="AR18" s="48">
        <f t="shared" si="15"/>
      </c>
      <c r="AT18" s="49" t="s">
        <v>27</v>
      </c>
    </row>
    <row r="19" spans="1:46" ht="11.25">
      <c r="A19" s="28">
        <v>13</v>
      </c>
      <c r="B19" s="28" t="str">
        <f>INDEX(T,18+WEEKDAY(AL19,1),lang)</f>
        <v>Mon</v>
      </c>
      <c r="C19" s="29" t="str">
        <f>DAY(AL19)&amp;" "&amp;INDEX(T,6+MONTH(AL19),lang)&amp;" 2011"</f>
        <v>28 Feb 2011</v>
      </c>
      <c r="D19" s="32">
        <f t="shared" si="11"/>
        <v>0.3333333333333333</v>
      </c>
      <c r="E19" s="30" t="str">
        <f>INDEX(T,32,lang)</f>
        <v>Zimbabwe</v>
      </c>
      <c r="F19" s="55"/>
      <c r="G19" s="55"/>
      <c r="H19" s="55"/>
      <c r="I19" s="61" t="s">
        <v>123</v>
      </c>
      <c r="J19" s="55"/>
      <c r="K19" s="55"/>
      <c r="L19" s="55"/>
      <c r="M19" s="31" t="str">
        <f>INDEX(T,27,lang)</f>
        <v>Canada</v>
      </c>
      <c r="N19" s="31">
        <f>IF(AM19="","",IF(AM19=0,INDEX(T,53,lang),IF(AM19&gt;0,E19,M19)&amp;" "&amp;INDEX(T,52,lang)&amp;" "&amp;IF(I19="--&gt;",IF(AM19&lt;0,-AM19&amp;" "&amp;LOWER(INDEX(T,40,lang)),(10-G19)&amp;" "&amp;LOWER(INDEX(T,70,lang))),IF(AM19&gt;0,AM19&amp;" "&amp;LOWER(INDEX(T,40,lang)),(10-K19)&amp;" "&amp;LOWER(INDEX(T,70,lang))))))</f>
      </c>
      <c r="O19" s="31" t="str">
        <f>INDEX(T,67,lang)</f>
        <v>Nagpur</v>
      </c>
      <c r="Q19" s="37" t="str">
        <f>VLOOKUP(2,$Z$17:$AI$23,3,FALSE)</f>
        <v>South Africa</v>
      </c>
      <c r="R19" s="38">
        <f>VLOOKUP(2,$Z$17:$AI$23,4,FALSE)</f>
        <v>0</v>
      </c>
      <c r="S19" s="38">
        <f>VLOOKUP(2,$Z$17:$AI$23,5,FALSE)</f>
        <v>0</v>
      </c>
      <c r="T19" s="38">
        <f>VLOOKUP(2,$Z$17:$AI$23,6,FALSE)</f>
        <v>0</v>
      </c>
      <c r="U19" s="38">
        <f>VLOOKUP(2,$Z$17:$AI$23,7,FALSE)</f>
        <v>0</v>
      </c>
      <c r="V19" s="38"/>
      <c r="W19" s="39">
        <f>VLOOKUP(2,$Z$17:$AI$23,9,FALSE)</f>
        <v>0</v>
      </c>
      <c r="X19" s="40">
        <f>VLOOKUP(2,$Z$17:$AI$23,10,FALSE)</f>
        <v>0</v>
      </c>
      <c r="Z19" s="48">
        <f t="shared" si="20"/>
        <v>5</v>
      </c>
      <c r="AA19" s="48">
        <f t="shared" si="21"/>
        <v>0.019</v>
      </c>
      <c r="AB19" s="49" t="s">
        <v>21</v>
      </c>
      <c r="AC19" s="48">
        <f t="shared" si="22"/>
        <v>0</v>
      </c>
      <c r="AD19" s="48">
        <f t="shared" si="16"/>
        <v>0</v>
      </c>
      <c r="AE19" s="48">
        <f t="shared" si="17"/>
        <v>0</v>
      </c>
      <c r="AF19" s="48">
        <f t="shared" si="18"/>
        <v>0</v>
      </c>
      <c r="AH19" s="48">
        <f t="shared" si="19"/>
        <v>0</v>
      </c>
      <c r="AI19" s="48">
        <f t="shared" si="23"/>
        <v>0</v>
      </c>
      <c r="AK19" s="48">
        <v>40601.70833333333</v>
      </c>
      <c r="AL19" s="48">
        <f t="shared" si="5"/>
        <v>40602.33333333333</v>
      </c>
      <c r="AM19" s="48">
        <f t="shared" si="6"/>
      </c>
      <c r="AN19" s="52">
        <f t="shared" si="7"/>
      </c>
      <c r="AO19" s="52">
        <f t="shared" si="8"/>
      </c>
      <c r="AP19" s="48">
        <f t="shared" si="9"/>
      </c>
      <c r="AQ19" s="48">
        <f t="shared" si="10"/>
      </c>
      <c r="AR19" s="48">
        <f t="shared" si="15"/>
      </c>
      <c r="AT19" s="49" t="s">
        <v>12</v>
      </c>
    </row>
    <row r="20" spans="1:46" ht="11.25">
      <c r="A20" s="28">
        <v>14</v>
      </c>
      <c r="B20" s="28" t="str">
        <f>INDEX(T,18+WEEKDAY(AL20,1),lang)</f>
        <v>Tue</v>
      </c>
      <c r="C20" s="29" t="str">
        <f>DAY(AL20)&amp;" "&amp;INDEX(T,6+MONTH(AL20),lang)&amp;" 2011"</f>
        <v>1 Mar 2011</v>
      </c>
      <c r="D20" s="32">
        <f t="shared" si="11"/>
        <v>0.5208333333333334</v>
      </c>
      <c r="E20" s="30" t="str">
        <f>INDEX(T,31,lang)</f>
        <v>Sri Lanka</v>
      </c>
      <c r="F20" s="55"/>
      <c r="G20" s="55"/>
      <c r="H20" s="55"/>
      <c r="I20" s="61" t="s">
        <v>123</v>
      </c>
      <c r="J20" s="55"/>
      <c r="K20" s="55"/>
      <c r="L20" s="55"/>
      <c r="M20" s="31" t="str">
        <f>INDEX(T,28,lang)</f>
        <v>Kenya</v>
      </c>
      <c r="N20" s="31">
        <f>IF(AM20="","",IF(AM20=0,INDEX(T,53,lang),IF(AM20&gt;0,E20,M20)&amp;" "&amp;INDEX(T,52,lang)&amp;" "&amp;IF(I20="--&gt;",IF(AM20&lt;0,-AM20&amp;" "&amp;LOWER(INDEX(T,40,lang)),(10-G20)&amp;" "&amp;LOWER(INDEX(T,70,lang))),IF(AM20&gt;0,AM20&amp;" "&amp;LOWER(INDEX(T,40,lang)),(10-K20)&amp;" "&amp;LOWER(INDEX(T,70,lang))))))</f>
      </c>
      <c r="O20" s="31" t="str">
        <f>INDEX(T,59,lang)</f>
        <v>Colombo</v>
      </c>
      <c r="Q20" s="37" t="str">
        <f>VLOOKUP(3,$Z$17:$AI$23,3,FALSE)</f>
        <v>Netherlands</v>
      </c>
      <c r="R20" s="38">
        <f>VLOOKUP(3,$Z$17:$AI$23,4,FALSE)</f>
        <v>0</v>
      </c>
      <c r="S20" s="38">
        <f>VLOOKUP(3,$Z$17:$AI$23,5,FALSE)</f>
        <v>0</v>
      </c>
      <c r="T20" s="38">
        <f>VLOOKUP(3,$Z$17:$AI$23,6,FALSE)</f>
        <v>0</v>
      </c>
      <c r="U20" s="38">
        <f>VLOOKUP(3,$Z$17:$AI$23,7,FALSE)</f>
        <v>0</v>
      </c>
      <c r="V20" s="38"/>
      <c r="W20" s="39">
        <f>VLOOKUP(3,$Z$17:$AI$23,9,FALSE)</f>
        <v>0</v>
      </c>
      <c r="X20" s="40">
        <f>VLOOKUP(3,$Z$17:$AI$23,10,FALSE)</f>
        <v>0</v>
      </c>
      <c r="Z20" s="48">
        <f t="shared" si="20"/>
        <v>4</v>
      </c>
      <c r="AA20" s="48">
        <f t="shared" si="21"/>
        <v>0.02</v>
      </c>
      <c r="AB20" s="49" t="s">
        <v>22</v>
      </c>
      <c r="AC20" s="48">
        <f t="shared" si="22"/>
        <v>0</v>
      </c>
      <c r="AD20" s="48">
        <f t="shared" si="16"/>
        <v>0</v>
      </c>
      <c r="AE20" s="48">
        <f t="shared" si="17"/>
        <v>0</v>
      </c>
      <c r="AF20" s="48">
        <f t="shared" si="18"/>
        <v>0</v>
      </c>
      <c r="AH20" s="48">
        <f t="shared" si="19"/>
        <v>0</v>
      </c>
      <c r="AI20" s="48">
        <f t="shared" si="23"/>
        <v>0</v>
      </c>
      <c r="AK20" s="48">
        <v>40602.89583333333</v>
      </c>
      <c r="AL20" s="48">
        <f t="shared" si="5"/>
        <v>40603.52083333333</v>
      </c>
      <c r="AM20" s="48">
        <f t="shared" si="6"/>
      </c>
      <c r="AN20" s="52">
        <f t="shared" si="7"/>
      </c>
      <c r="AO20" s="52">
        <f t="shared" si="8"/>
      </c>
      <c r="AP20" s="48">
        <f t="shared" si="9"/>
      </c>
      <c r="AQ20" s="48">
        <f t="shared" si="10"/>
      </c>
      <c r="AR20" s="48">
        <f t="shared" si="15"/>
      </c>
      <c r="AT20" s="49" t="s">
        <v>13</v>
      </c>
    </row>
    <row r="21" spans="1:46" ht="11.25">
      <c r="A21" s="28">
        <v>15</v>
      </c>
      <c r="B21" s="28" t="str">
        <f>INDEX(T,18+WEEKDAY(AL21,1),lang)</f>
        <v>Wed</v>
      </c>
      <c r="C21" s="29" t="str">
        <f>DAY(AL21)&amp;" "&amp;INDEX(T,6+MONTH(AL21),lang)&amp;" 2011"</f>
        <v>2 Mar 2011</v>
      </c>
      <c r="D21" s="32">
        <f t="shared" si="11"/>
        <v>0.5208333333333334</v>
      </c>
      <c r="E21" s="30" t="str">
        <f>INDEX(T,34,lang)</f>
        <v>England</v>
      </c>
      <c r="F21" s="55"/>
      <c r="G21" s="55"/>
      <c r="H21" s="55"/>
      <c r="I21" s="61" t="s">
        <v>123</v>
      </c>
      <c r="J21" s="55"/>
      <c r="K21" s="55"/>
      <c r="L21" s="55"/>
      <c r="M21" s="31" t="str">
        <f>INDEX(T,36,lang)</f>
        <v>Ireland</v>
      </c>
      <c r="N21" s="31">
        <f>IF(AM21="","",IF(AM21=0,INDEX(T,53,lang),IF(AM21&gt;0,E21,M21)&amp;" "&amp;INDEX(T,52,lang)&amp;" "&amp;IF(I21="--&gt;",IF(AM21&lt;0,-AM21&amp;" "&amp;LOWER(INDEX(T,40,lang)),(10-G21)&amp;" "&amp;LOWER(INDEX(T,70,lang))),IF(AM21&gt;0,AM21&amp;" "&amp;LOWER(INDEX(T,40,lang)),(10-K21)&amp;" "&amp;LOWER(INDEX(T,70,lang))))))</f>
      </c>
      <c r="O21" s="31" t="str">
        <f>INDEX(T,55,lang)</f>
        <v>Bangalore</v>
      </c>
      <c r="Q21" s="37" t="str">
        <f>VLOOKUP(4,$Z$17:$AI$23,3,FALSE)</f>
        <v>Ireland</v>
      </c>
      <c r="R21" s="38">
        <f>VLOOKUP(4,$Z$17:$AI$23,4,FALSE)</f>
        <v>0</v>
      </c>
      <c r="S21" s="38">
        <f>VLOOKUP(4,$Z$17:$AI$23,5,FALSE)</f>
        <v>0</v>
      </c>
      <c r="T21" s="38">
        <f>VLOOKUP(4,$Z$17:$AI$23,6,FALSE)</f>
        <v>0</v>
      </c>
      <c r="U21" s="38">
        <f>VLOOKUP(4,$Z$17:$AI$23,7,FALSE)</f>
        <v>0</v>
      </c>
      <c r="V21" s="38"/>
      <c r="W21" s="39">
        <f>VLOOKUP(4,$Z$17:$AI$23,9,FALSE)</f>
        <v>0</v>
      </c>
      <c r="X21" s="40">
        <f>VLOOKUP(4,$Z$17:$AI$23,10,FALSE)</f>
        <v>0</v>
      </c>
      <c r="Z21" s="48">
        <f t="shared" si="20"/>
        <v>3</v>
      </c>
      <c r="AA21" s="48">
        <f t="shared" si="21"/>
        <v>0.021</v>
      </c>
      <c r="AB21" s="49" t="s">
        <v>23</v>
      </c>
      <c r="AC21" s="48">
        <f t="shared" si="22"/>
        <v>0</v>
      </c>
      <c r="AD21" s="48">
        <f t="shared" si="16"/>
        <v>0</v>
      </c>
      <c r="AE21" s="48">
        <f t="shared" si="17"/>
        <v>0</v>
      </c>
      <c r="AF21" s="48">
        <f t="shared" si="18"/>
        <v>0</v>
      </c>
      <c r="AH21" s="48">
        <f t="shared" si="19"/>
        <v>0</v>
      </c>
      <c r="AI21" s="48">
        <f t="shared" si="23"/>
        <v>0</v>
      </c>
      <c r="AK21" s="48">
        <v>40603.89583333333</v>
      </c>
      <c r="AL21" s="48">
        <f t="shared" si="5"/>
        <v>40604.52083333333</v>
      </c>
      <c r="AM21" s="48">
        <f t="shared" si="6"/>
      </c>
      <c r="AN21" s="52">
        <f t="shared" si="7"/>
      </c>
      <c r="AO21" s="52">
        <f t="shared" si="8"/>
      </c>
      <c r="AP21" s="48">
        <f t="shared" si="9"/>
      </c>
      <c r="AQ21" s="48">
        <f t="shared" si="10"/>
      </c>
      <c r="AR21" s="48">
        <f t="shared" si="15"/>
      </c>
      <c r="AT21" s="49" t="s">
        <v>28</v>
      </c>
    </row>
    <row r="22" spans="1:46" ht="11.25">
      <c r="A22" s="28">
        <v>16</v>
      </c>
      <c r="B22" s="28" t="str">
        <f>INDEX(T,18+WEEKDAY(AL22,1),lang)</f>
        <v>Thu</v>
      </c>
      <c r="C22" s="29" t="str">
        <f>DAY(AL22)&amp;" "&amp;INDEX(T,6+MONTH(AL22),lang)&amp;" 2011"</f>
        <v>3 Mar 2011</v>
      </c>
      <c r="D22" s="32">
        <f t="shared" si="11"/>
        <v>0.3333333333333333</v>
      </c>
      <c r="E22" s="30" t="str">
        <f>INDEX(T,38,lang)</f>
        <v>South Africa</v>
      </c>
      <c r="F22" s="55"/>
      <c r="G22" s="55"/>
      <c r="H22" s="55"/>
      <c r="I22" s="61" t="s">
        <v>123</v>
      </c>
      <c r="J22" s="55"/>
      <c r="K22" s="55"/>
      <c r="L22" s="55"/>
      <c r="M22" s="31" t="str">
        <f>INDEX(T,37,lang)</f>
        <v>Netherlands</v>
      </c>
      <c r="N22" s="31">
        <f>IF(AM22="","",IF(AM22=0,INDEX(T,53,lang),IF(AM22&gt;0,E22,M22)&amp;" "&amp;INDEX(T,52,lang)&amp;" "&amp;IF(I22="--&gt;",IF(AM22&lt;0,-AM22&amp;" "&amp;LOWER(INDEX(T,40,lang)),(10-G22)&amp;" "&amp;LOWER(INDEX(T,70,lang))),IF(AM22&gt;0,AM22&amp;" "&amp;LOWER(INDEX(T,40,lang)),(10-K22)&amp;" "&amp;LOWER(INDEX(T,70,lang))))))</f>
      </c>
      <c r="O22" s="31" t="str">
        <f>INDEX(T,65,lang)</f>
        <v>Mohali</v>
      </c>
      <c r="Q22" s="37" t="str">
        <f>VLOOKUP(5,$Z$17:$AI$23,3,FALSE)</f>
        <v>India</v>
      </c>
      <c r="R22" s="38">
        <f>VLOOKUP(5,$Z$17:$AI$23,4,FALSE)</f>
        <v>0</v>
      </c>
      <c r="S22" s="38">
        <f>VLOOKUP(5,$Z$17:$AI$23,5,FALSE)</f>
        <v>0</v>
      </c>
      <c r="T22" s="38">
        <f>VLOOKUP(5,$Z$17:$AI$23,6,FALSE)</f>
        <v>0</v>
      </c>
      <c r="U22" s="38">
        <f>VLOOKUP(5,$Z$17:$AI$23,7,FALSE)</f>
        <v>0</v>
      </c>
      <c r="V22" s="38"/>
      <c r="W22" s="39">
        <f>VLOOKUP(5,$Z$17:$AI$23,9,FALSE)</f>
        <v>0</v>
      </c>
      <c r="X22" s="40">
        <f>VLOOKUP(5,$Z$17:$AI$23,10,FALSE)</f>
        <v>0</v>
      </c>
      <c r="Z22" s="48">
        <f t="shared" si="20"/>
        <v>2</v>
      </c>
      <c r="AA22" s="48">
        <f t="shared" si="21"/>
        <v>0.022</v>
      </c>
      <c r="AB22" s="49" t="s">
        <v>24</v>
      </c>
      <c r="AC22" s="48">
        <f t="shared" si="22"/>
        <v>0</v>
      </c>
      <c r="AD22" s="48">
        <f t="shared" si="16"/>
        <v>0</v>
      </c>
      <c r="AE22" s="48">
        <f t="shared" si="17"/>
        <v>0</v>
      </c>
      <c r="AF22" s="48">
        <f t="shared" si="18"/>
        <v>0</v>
      </c>
      <c r="AH22" s="48">
        <f t="shared" si="19"/>
        <v>0</v>
      </c>
      <c r="AI22" s="48">
        <f t="shared" si="23"/>
        <v>0</v>
      </c>
      <c r="AK22" s="48">
        <v>40604.70833333333</v>
      </c>
      <c r="AL22" s="48">
        <f t="shared" si="5"/>
        <v>40605.33333333333</v>
      </c>
      <c r="AM22" s="48">
        <f t="shared" si="6"/>
      </c>
      <c r="AN22" s="52">
        <f t="shared" si="7"/>
      </c>
      <c r="AO22" s="52">
        <f t="shared" si="8"/>
      </c>
      <c r="AP22" s="48">
        <f t="shared" si="9"/>
      </c>
      <c r="AQ22" s="48">
        <f t="shared" si="10"/>
      </c>
      <c r="AR22" s="48">
        <f t="shared" si="15"/>
      </c>
      <c r="AT22" s="49" t="s">
        <v>29</v>
      </c>
    </row>
    <row r="23" spans="1:46" ht="11.25">
      <c r="A23" s="28">
        <v>17</v>
      </c>
      <c r="B23" s="28" t="str">
        <f>INDEX(T,18+WEEKDAY(AL23,1),lang)</f>
        <v>Thu</v>
      </c>
      <c r="C23" s="29" t="str">
        <f>DAY(AL23)&amp;" "&amp;INDEX(T,6+MONTH(AL23),lang)&amp;" 2011"</f>
        <v>3 Mar 2011</v>
      </c>
      <c r="D23" s="32">
        <f t="shared" si="11"/>
        <v>0.5208333333333334</v>
      </c>
      <c r="E23" s="30" t="str">
        <f>INDEX(T,30,lang)</f>
        <v>Pakistan</v>
      </c>
      <c r="F23" s="55"/>
      <c r="G23" s="55"/>
      <c r="H23" s="55"/>
      <c r="I23" s="61" t="s">
        <v>123</v>
      </c>
      <c r="J23" s="55"/>
      <c r="K23" s="55"/>
      <c r="L23" s="55"/>
      <c r="M23" s="31" t="str">
        <f>INDEX(T,27,lang)</f>
        <v>Canada</v>
      </c>
      <c r="N23" s="31">
        <f>IF(AM23="","",IF(AM23=0,INDEX(T,53,lang),IF(AM23&gt;0,E23,M23)&amp;" "&amp;INDEX(T,52,lang)&amp;" "&amp;IF(I23="--&gt;",IF(AM23&lt;0,-AM23&amp;" "&amp;LOWER(INDEX(T,40,lang)),(10-G23)&amp;" "&amp;LOWER(INDEX(T,70,lang))),IF(AM23&gt;0,AM23&amp;" "&amp;LOWER(INDEX(T,40,lang)),(10-K23)&amp;" "&amp;LOWER(INDEX(T,70,lang))))))</f>
      </c>
      <c r="O23" s="31" t="str">
        <f>INDEX(T,59,lang)</f>
        <v>Colombo</v>
      </c>
      <c r="Q23" s="37" t="str">
        <f>VLOOKUP(6,$Z$17:$AI$23,3,FALSE)</f>
        <v>England</v>
      </c>
      <c r="R23" s="38">
        <f>VLOOKUP(6,$Z$17:$AI$23,4,FALSE)</f>
        <v>0</v>
      </c>
      <c r="S23" s="38">
        <f>VLOOKUP(6,$Z$17:$AI$23,5,FALSE)</f>
        <v>0</v>
      </c>
      <c r="T23" s="38">
        <f>VLOOKUP(6,$Z$17:$AI$23,6,FALSE)</f>
        <v>0</v>
      </c>
      <c r="U23" s="38">
        <f>VLOOKUP(6,$Z$17:$AI$23,7,FALSE)</f>
        <v>0</v>
      </c>
      <c r="V23" s="38"/>
      <c r="W23" s="39">
        <f>VLOOKUP(6,$Z$17:$AI$23,9,FALSE)</f>
        <v>0</v>
      </c>
      <c r="X23" s="40">
        <f>VLOOKUP(6,$Z$17:$AI$23,10,FALSE)</f>
        <v>0</v>
      </c>
      <c r="Z23" s="48">
        <f t="shared" si="20"/>
        <v>1</v>
      </c>
      <c r="AA23" s="48">
        <f t="shared" si="21"/>
        <v>0.023</v>
      </c>
      <c r="AB23" s="49" t="s">
        <v>25</v>
      </c>
      <c r="AC23" s="48">
        <f t="shared" si="22"/>
        <v>0</v>
      </c>
      <c r="AD23" s="48">
        <f t="shared" si="16"/>
        <v>0</v>
      </c>
      <c r="AE23" s="48">
        <f t="shared" si="17"/>
        <v>0</v>
      </c>
      <c r="AF23" s="48">
        <f t="shared" si="18"/>
        <v>0</v>
      </c>
      <c r="AH23" s="48">
        <f t="shared" si="19"/>
        <v>0</v>
      </c>
      <c r="AI23" s="48">
        <f t="shared" si="23"/>
        <v>0</v>
      </c>
      <c r="AK23" s="48">
        <v>40604.89583333333</v>
      </c>
      <c r="AL23" s="48">
        <f t="shared" si="5"/>
        <v>40605.52083333333</v>
      </c>
      <c r="AM23" s="48">
        <f t="shared" si="6"/>
      </c>
      <c r="AN23" s="52">
        <f t="shared" si="7"/>
      </c>
      <c r="AO23" s="52">
        <f t="shared" si="8"/>
      </c>
      <c r="AP23" s="48">
        <f t="shared" si="9"/>
      </c>
      <c r="AQ23" s="48">
        <f t="shared" si="10"/>
      </c>
      <c r="AR23" s="48">
        <f t="shared" si="15"/>
      </c>
      <c r="AT23" s="49" t="s">
        <v>13</v>
      </c>
    </row>
    <row r="24" spans="1:46" ht="11.25">
      <c r="A24" s="28">
        <v>18</v>
      </c>
      <c r="B24" s="28" t="str">
        <f>INDEX(T,18+WEEKDAY(AL24,1),lang)</f>
        <v>Fri</v>
      </c>
      <c r="C24" s="29" t="str">
        <f>DAY(AL24)&amp;" "&amp;INDEX(T,6+MONTH(AL24),lang)&amp;" 2011"</f>
        <v>4 Mar 2011</v>
      </c>
      <c r="D24" s="32">
        <f t="shared" si="11"/>
        <v>0.3333333333333333</v>
      </c>
      <c r="E24" s="30" t="str">
        <f>INDEX(T,29,lang)</f>
        <v>New Zealand</v>
      </c>
      <c r="F24" s="55"/>
      <c r="G24" s="55"/>
      <c r="H24" s="55"/>
      <c r="I24" s="61" t="s">
        <v>123</v>
      </c>
      <c r="J24" s="55"/>
      <c r="K24" s="55"/>
      <c r="L24" s="55"/>
      <c r="M24" s="31" t="str">
        <f>INDEX(T,32,lang)</f>
        <v>Zimbabwe</v>
      </c>
      <c r="N24" s="31">
        <f>IF(AM24="","",IF(AM24=0,INDEX(T,53,lang),IF(AM24&gt;0,E24,M24)&amp;" "&amp;INDEX(T,52,lang)&amp;" "&amp;IF(I24="--&gt;",IF(AM24&lt;0,-AM24&amp;" "&amp;LOWER(INDEX(T,40,lang)),(10-G24)&amp;" "&amp;LOWER(INDEX(T,70,lang))),IF(AM24&gt;0,AM24&amp;" "&amp;LOWER(INDEX(T,40,lang)),(10-K24)&amp;" "&amp;LOWER(INDEX(T,70,lang))))))</f>
      </c>
      <c r="O24" s="31" t="str">
        <f>INDEX(T,54,lang)</f>
        <v>Ahmedabad</v>
      </c>
      <c r="Q24" s="41" t="str">
        <f>VLOOKUP(7,$Z$17:$AI$23,3,FALSE)</f>
        <v>Bangladesh</v>
      </c>
      <c r="R24" s="42">
        <f>VLOOKUP(7,$Z$17:$AI$23,4,FALSE)</f>
        <v>0</v>
      </c>
      <c r="S24" s="42">
        <f>VLOOKUP(7,$Z$17:$AI$23,5,FALSE)</f>
        <v>0</v>
      </c>
      <c r="T24" s="42">
        <f>VLOOKUP(7,$Z$17:$AI$23,6,FALSE)</f>
        <v>0</v>
      </c>
      <c r="U24" s="42">
        <f>VLOOKUP(7,$Z$17:$AI$23,7,FALSE)</f>
        <v>0</v>
      </c>
      <c r="V24" s="42"/>
      <c r="W24" s="43">
        <f>VLOOKUP(7,$Z$17:$AI$23,9,FALSE)</f>
        <v>0</v>
      </c>
      <c r="X24" s="44">
        <f>VLOOKUP(7,$Z$17:$AI$23,10,FALSE)</f>
        <v>0</v>
      </c>
      <c r="AK24" s="48">
        <v>40605.70833333333</v>
      </c>
      <c r="AL24" s="48">
        <f t="shared" si="5"/>
        <v>40606.33333333333</v>
      </c>
      <c r="AM24" s="48">
        <f t="shared" si="6"/>
      </c>
      <c r="AN24" s="52">
        <f t="shared" si="7"/>
      </c>
      <c r="AO24" s="52">
        <f t="shared" si="8"/>
      </c>
      <c r="AP24" s="48">
        <f t="shared" si="9"/>
      </c>
      <c r="AQ24" s="48">
        <f t="shared" si="10"/>
      </c>
      <c r="AR24" s="48">
        <f t="shared" si="15"/>
      </c>
      <c r="AT24" s="49" t="s">
        <v>11</v>
      </c>
    </row>
    <row r="25" spans="1:46" ht="11.25">
      <c r="A25" s="28">
        <v>19</v>
      </c>
      <c r="B25" s="28" t="str">
        <f>INDEX(T,18+WEEKDAY(AL25,1),lang)</f>
        <v>Fri</v>
      </c>
      <c r="C25" s="29" t="str">
        <f>DAY(AL25)&amp;" "&amp;INDEX(T,6+MONTH(AL25),lang)&amp;" 2011"</f>
        <v>4 Mar 2011</v>
      </c>
      <c r="D25" s="32">
        <f t="shared" si="11"/>
        <v>0.5208333333333334</v>
      </c>
      <c r="E25" s="30" t="str">
        <f>INDEX(T,33,lang)</f>
        <v>Bangladesh</v>
      </c>
      <c r="F25" s="55"/>
      <c r="G25" s="55"/>
      <c r="H25" s="55"/>
      <c r="I25" s="61" t="s">
        <v>123</v>
      </c>
      <c r="J25" s="55"/>
      <c r="K25" s="55"/>
      <c r="L25" s="55"/>
      <c r="M25" s="31" t="str">
        <f>INDEX(T,39,lang)</f>
        <v>West Indies</v>
      </c>
      <c r="N25" s="31">
        <f>IF(AM25="","",IF(AM25=0,INDEX(T,53,lang),IF(AM25&gt;0,E25,M25)&amp;" "&amp;INDEX(T,52,lang)&amp;" "&amp;IF(I25="--&gt;",IF(AM25&lt;0,-AM25&amp;" "&amp;LOWER(INDEX(T,40,lang)),(10-G25)&amp;" "&amp;LOWER(INDEX(T,70,lang))),IF(AM25&gt;0,AM25&amp;" "&amp;LOWER(INDEX(T,40,lang)),(10-K25)&amp;" "&amp;LOWER(INDEX(T,70,lang))))))</f>
      </c>
      <c r="O25" s="31" t="str">
        <f>INDEX(T,61,lang)</f>
        <v>Dhaka</v>
      </c>
      <c r="AK25" s="48">
        <v>40605.89583333333</v>
      </c>
      <c r="AL25" s="48">
        <f t="shared" si="5"/>
        <v>40606.52083333333</v>
      </c>
      <c r="AM25" s="48">
        <f t="shared" si="6"/>
      </c>
      <c r="AN25" s="52">
        <f t="shared" si="7"/>
      </c>
      <c r="AO25" s="52">
        <f t="shared" si="8"/>
      </c>
      <c r="AP25" s="48">
        <f t="shared" si="9"/>
      </c>
      <c r="AQ25" s="48">
        <f t="shared" si="10"/>
      </c>
      <c r="AR25" s="48">
        <f t="shared" si="15"/>
      </c>
      <c r="AT25" s="49" t="s">
        <v>26</v>
      </c>
    </row>
    <row r="26" spans="1:46" ht="11.25" customHeight="1">
      <c r="A26" s="28">
        <v>20</v>
      </c>
      <c r="B26" s="28" t="str">
        <f>INDEX(T,18+WEEKDAY(AL26,1),lang)</f>
        <v>Sat</v>
      </c>
      <c r="C26" s="29" t="str">
        <f>DAY(AL26)&amp;" "&amp;INDEX(T,6+MONTH(AL26),lang)&amp;" 2011"</f>
        <v>5 Mar 2011</v>
      </c>
      <c r="D26" s="32">
        <f t="shared" si="11"/>
        <v>0.5208333333333334</v>
      </c>
      <c r="E26" s="30" t="str">
        <f>INDEX(T,31,lang)</f>
        <v>Sri Lanka</v>
      </c>
      <c r="F26" s="55"/>
      <c r="G26" s="55"/>
      <c r="H26" s="55"/>
      <c r="I26" s="61" t="s">
        <v>123</v>
      </c>
      <c r="J26" s="55"/>
      <c r="K26" s="55"/>
      <c r="L26" s="55"/>
      <c r="M26" s="31" t="str">
        <f>INDEX(T,26,lang)</f>
        <v>Australia</v>
      </c>
      <c r="N26" s="31">
        <f>IF(AM26="","",IF(AM26=0,INDEX(T,53,lang),IF(AM26&gt;0,E26,M26)&amp;" "&amp;INDEX(T,52,lang)&amp;" "&amp;IF(I26="--&gt;",IF(AM26&lt;0,-AM26&amp;" "&amp;LOWER(INDEX(T,40,lang)),(10-G26)&amp;" "&amp;LOWER(INDEX(T,70,lang))),IF(AM26&gt;0,AM26&amp;" "&amp;LOWER(INDEX(T,40,lang)),(10-K26)&amp;" "&amp;LOWER(INDEX(T,70,lang))))))</f>
      </c>
      <c r="O26" s="31" t="str">
        <f>INDEX(T,59,lang)</f>
        <v>Colombo</v>
      </c>
      <c r="Q26" s="67"/>
      <c r="R26" s="67"/>
      <c r="S26" s="67"/>
      <c r="T26" s="67"/>
      <c r="U26" s="67"/>
      <c r="V26" s="67"/>
      <c r="W26" s="67"/>
      <c r="X26" s="67"/>
      <c r="AK26" s="48">
        <v>40606.89583333333</v>
      </c>
      <c r="AL26" s="48">
        <f t="shared" si="5"/>
        <v>40607.52083333333</v>
      </c>
      <c r="AM26" s="48">
        <f t="shared" si="6"/>
      </c>
      <c r="AN26" s="52">
        <f t="shared" si="7"/>
      </c>
      <c r="AO26" s="52">
        <f t="shared" si="8"/>
      </c>
      <c r="AP26" s="48">
        <f t="shared" si="9"/>
      </c>
      <c r="AQ26" s="48">
        <f t="shared" si="10"/>
      </c>
      <c r="AR26" s="48">
        <f t="shared" si="15"/>
      </c>
      <c r="AT26" s="49" t="s">
        <v>13</v>
      </c>
    </row>
    <row r="27" spans="1:46" ht="11.25" customHeight="1">
      <c r="A27" s="28">
        <v>21</v>
      </c>
      <c r="B27" s="28" t="str">
        <f>INDEX(T,18+WEEKDAY(AL27,1),lang)</f>
        <v>Sun</v>
      </c>
      <c r="C27" s="29" t="str">
        <f>DAY(AL27)&amp;" "&amp;INDEX(T,6+MONTH(AL27),lang)&amp;" 2011"</f>
        <v>6 Mar 2011</v>
      </c>
      <c r="D27" s="32">
        <f t="shared" si="11"/>
        <v>0.5208333333333334</v>
      </c>
      <c r="E27" s="30" t="str">
        <f>INDEX(T,35,lang)</f>
        <v>India</v>
      </c>
      <c r="F27" s="55"/>
      <c r="G27" s="55"/>
      <c r="H27" s="55"/>
      <c r="I27" s="61" t="s">
        <v>123</v>
      </c>
      <c r="J27" s="55"/>
      <c r="K27" s="55"/>
      <c r="L27" s="55"/>
      <c r="M27" s="31" t="str">
        <f>INDEX(T,36,lang)</f>
        <v>Ireland</v>
      </c>
      <c r="N27" s="31">
        <f>IF(AM27="","",IF(AM27=0,INDEX(T,53,lang),IF(AM27&gt;0,E27,M27)&amp;" "&amp;INDEX(T,52,lang)&amp;" "&amp;IF(I27="--&gt;",IF(AM27&lt;0,-AM27&amp;" "&amp;LOWER(INDEX(T,40,lang)),(10-G27)&amp;" "&amp;LOWER(INDEX(T,70,lang))),IF(AM27&gt;0,AM27&amp;" "&amp;LOWER(INDEX(T,40,lang)),(10-K27)&amp;" "&amp;LOWER(INDEX(T,70,lang))))))</f>
      </c>
      <c r="O27" s="31" t="str">
        <f>INDEX(T,55,lang)</f>
        <v>Bangalore</v>
      </c>
      <c r="Q27" s="67"/>
      <c r="R27" s="67"/>
      <c r="S27" s="67"/>
      <c r="T27" s="67"/>
      <c r="U27" s="67"/>
      <c r="V27" s="67"/>
      <c r="W27" s="67"/>
      <c r="X27" s="67"/>
      <c r="AB27" s="49" t="str">
        <f>IF(SUM($R$8:$R$14)=42,Q8,INDEX(T,42,lang)&amp;" A1")</f>
        <v>Group A1</v>
      </c>
      <c r="AK27" s="48">
        <v>40607.89583333333</v>
      </c>
      <c r="AL27" s="48">
        <f t="shared" si="5"/>
        <v>40608.52083333333</v>
      </c>
      <c r="AM27" s="48">
        <f t="shared" si="6"/>
      </c>
      <c r="AN27" s="52">
        <f t="shared" si="7"/>
      </c>
      <c r="AO27" s="52">
        <f t="shared" si="8"/>
      </c>
      <c r="AP27" s="48">
        <f t="shared" si="9"/>
      </c>
      <c r="AQ27" s="48">
        <f t="shared" si="10"/>
      </c>
      <c r="AR27" s="48">
        <f t="shared" si="15"/>
      </c>
      <c r="AT27" s="49" t="s">
        <v>28</v>
      </c>
    </row>
    <row r="28" spans="1:46" ht="11.25">
      <c r="A28" s="28">
        <v>22</v>
      </c>
      <c r="B28" s="28" t="str">
        <f>INDEX(T,18+WEEKDAY(AL28,1),lang)</f>
        <v>Sun</v>
      </c>
      <c r="C28" s="29" t="str">
        <f>DAY(AL28)&amp;" "&amp;INDEX(T,6+MONTH(AL28),lang)&amp;" 2011"</f>
        <v>6 Mar 2011</v>
      </c>
      <c r="D28" s="32">
        <f t="shared" si="11"/>
        <v>0.3333333333333333</v>
      </c>
      <c r="E28" s="30" t="str">
        <f>INDEX(T,34,lang)</f>
        <v>England</v>
      </c>
      <c r="F28" s="55"/>
      <c r="G28" s="55"/>
      <c r="H28" s="55"/>
      <c r="I28" s="61" t="s">
        <v>123</v>
      </c>
      <c r="J28" s="55"/>
      <c r="K28" s="55"/>
      <c r="L28" s="55"/>
      <c r="M28" s="31" t="str">
        <f>INDEX(T,38,lang)</f>
        <v>South Africa</v>
      </c>
      <c r="N28" s="31">
        <f>IF(AM28="","",IF(AM28=0,INDEX(T,53,lang),IF(AM28&gt;0,E28,M28)&amp;" "&amp;INDEX(T,52,lang)&amp;" "&amp;IF(I28="--&gt;",IF(AM28&lt;0,-AM28&amp;" "&amp;LOWER(INDEX(T,40,lang)),(10-G28)&amp;" "&amp;LOWER(INDEX(T,70,lang))),IF(AM28&gt;0,AM28&amp;" "&amp;LOWER(INDEX(T,40,lang)),(10-K28)&amp;" "&amp;LOWER(INDEX(T,70,lang))))))</f>
      </c>
      <c r="O28" s="31" t="str">
        <f>INDEX(T,57,lang)</f>
        <v>Chennai</v>
      </c>
      <c r="Q28" s="67"/>
      <c r="R28" s="67"/>
      <c r="S28" s="67"/>
      <c r="T28" s="67"/>
      <c r="U28" s="67"/>
      <c r="V28" s="67"/>
      <c r="W28" s="67"/>
      <c r="X28" s="67"/>
      <c r="AB28" s="49" t="str">
        <f>IF(SUM($R$8:$R$14)=42,Q9,INDEX(T,42,lang)&amp;" A2")</f>
        <v>Group A2</v>
      </c>
      <c r="AK28" s="48">
        <v>40607.70833333333</v>
      </c>
      <c r="AL28" s="48">
        <f t="shared" si="5"/>
        <v>40608.33333333333</v>
      </c>
      <c r="AM28" s="48">
        <f t="shared" si="6"/>
      </c>
      <c r="AN28" s="52">
        <f t="shared" si="7"/>
      </c>
      <c r="AO28" s="52">
        <f t="shared" si="8"/>
      </c>
      <c r="AP28" s="48">
        <f t="shared" si="9"/>
      </c>
      <c r="AQ28" s="48">
        <f t="shared" si="10"/>
      </c>
      <c r="AR28" s="48">
        <f t="shared" si="15"/>
      </c>
      <c r="AT28" s="49" t="s">
        <v>9</v>
      </c>
    </row>
    <row r="29" spans="1:46" ht="11.25" customHeight="1">
      <c r="A29" s="28">
        <v>23</v>
      </c>
      <c r="B29" s="28" t="str">
        <f>INDEX(T,18+WEEKDAY(AL29,1),lang)</f>
        <v>Mon</v>
      </c>
      <c r="C29" s="29" t="str">
        <f>DAY(AL29)&amp;" "&amp;INDEX(T,6+MONTH(AL29),lang)&amp;" 2011"</f>
        <v>7 Mar 2011</v>
      </c>
      <c r="D29" s="32">
        <f t="shared" si="11"/>
        <v>0.5208333333333334</v>
      </c>
      <c r="E29" s="30" t="str">
        <f>INDEX(T,28,lang)</f>
        <v>Kenya</v>
      </c>
      <c r="F29" s="55"/>
      <c r="G29" s="55"/>
      <c r="H29" s="55"/>
      <c r="I29" s="61" t="s">
        <v>123</v>
      </c>
      <c r="J29" s="55"/>
      <c r="K29" s="55"/>
      <c r="L29" s="55"/>
      <c r="M29" s="31" t="str">
        <f>INDEX(T,27,lang)</f>
        <v>Canada</v>
      </c>
      <c r="N29" s="31">
        <f>IF(AM29="","",IF(AM29=0,INDEX(T,53,lang),IF(AM29&gt;0,E29,M29)&amp;" "&amp;INDEX(T,52,lang)&amp;" "&amp;IF(I29="--&gt;",IF(AM29&lt;0,-AM29&amp;" "&amp;LOWER(INDEX(T,40,lang)),(10-G29)&amp;" "&amp;LOWER(INDEX(T,70,lang))),IF(AM29&gt;0,AM29&amp;" "&amp;LOWER(INDEX(T,40,lang)),(10-K29)&amp;" "&amp;LOWER(INDEX(T,70,lang))))))</f>
      </c>
      <c r="O29" s="31" t="str">
        <f>INDEX(T,60,lang)</f>
        <v>Delhi</v>
      </c>
      <c r="Q29" s="67"/>
      <c r="R29" s="67"/>
      <c r="S29" s="67"/>
      <c r="T29" s="67"/>
      <c r="U29" s="67"/>
      <c r="V29" s="67"/>
      <c r="W29" s="67"/>
      <c r="X29" s="67"/>
      <c r="AB29" s="49" t="str">
        <f>IF(SUM($R$8:$R$14)=42,Q10,INDEX(T,42,lang)&amp;" A3")</f>
        <v>Group A3</v>
      </c>
      <c r="AK29" s="48">
        <v>40608.89583333333</v>
      </c>
      <c r="AL29" s="48">
        <f t="shared" si="5"/>
        <v>40609.52083333333</v>
      </c>
      <c r="AM29" s="48">
        <f t="shared" si="6"/>
      </c>
      <c r="AN29" s="52">
        <f t="shared" si="7"/>
      </c>
      <c r="AO29" s="52">
        <f t="shared" si="8"/>
      </c>
      <c r="AP29" s="48">
        <f t="shared" si="9"/>
      </c>
      <c r="AQ29" s="48">
        <f t="shared" si="10"/>
      </c>
      <c r="AR29" s="48">
        <f t="shared" si="15"/>
      </c>
      <c r="AT29" s="49" t="s">
        <v>14</v>
      </c>
    </row>
    <row r="30" spans="1:46" ht="11.25" customHeight="1">
      <c r="A30" s="28">
        <v>24</v>
      </c>
      <c r="B30" s="28" t="str">
        <f>INDEX(T,18+WEEKDAY(AL30,1),lang)</f>
        <v>Tue</v>
      </c>
      <c r="C30" s="29" t="str">
        <f>DAY(AL30)&amp;" "&amp;INDEX(T,6+MONTH(AL30),lang)&amp;" 2011"</f>
        <v>8 Mar 2011</v>
      </c>
      <c r="D30" s="32">
        <f t="shared" si="11"/>
        <v>0.5208333333333334</v>
      </c>
      <c r="E30" s="30" t="str">
        <f>INDEX(T,30,lang)</f>
        <v>Pakistan</v>
      </c>
      <c r="F30" s="55"/>
      <c r="G30" s="55"/>
      <c r="H30" s="55"/>
      <c r="I30" s="61" t="s">
        <v>123</v>
      </c>
      <c r="J30" s="55"/>
      <c r="K30" s="55"/>
      <c r="L30" s="55"/>
      <c r="M30" s="31" t="str">
        <f>INDEX(T,29,lang)</f>
        <v>New Zealand</v>
      </c>
      <c r="N30" s="31">
        <f>IF(AM30="","",IF(AM30=0,INDEX(T,53,lang),IF(AM30&gt;0,E30,M30)&amp;" "&amp;INDEX(T,52,lang)&amp;" "&amp;IF(I30="--&gt;",IF(AM30&lt;0,-AM30&amp;" "&amp;LOWER(INDEX(T,40,lang)),(10-G30)&amp;" "&amp;LOWER(INDEX(T,70,lang))),IF(AM30&gt;0,AM30&amp;" "&amp;LOWER(INDEX(T,40,lang)),(10-K30)&amp;" "&amp;LOWER(INDEX(T,70,lang))))))</f>
      </c>
      <c r="O30" s="31" t="str">
        <f>INDEX(T,63,lang)</f>
        <v>Kandy</v>
      </c>
      <c r="Q30" s="67"/>
      <c r="R30" s="67"/>
      <c r="S30" s="67"/>
      <c r="T30" s="67"/>
      <c r="U30" s="67"/>
      <c r="V30" s="67"/>
      <c r="W30" s="67"/>
      <c r="X30" s="67"/>
      <c r="AB30" s="49" t="str">
        <f>IF(SUM($R$8:$R$14)=42,Q11,INDEX(T,42,lang)&amp;" A4")</f>
        <v>Group A4</v>
      </c>
      <c r="AK30" s="48">
        <v>40609.89583333333</v>
      </c>
      <c r="AL30" s="48">
        <f t="shared" si="5"/>
        <v>40610.52083333333</v>
      </c>
      <c r="AM30" s="48">
        <f t="shared" si="6"/>
      </c>
      <c r="AN30" s="52">
        <f t="shared" si="7"/>
      </c>
      <c r="AO30" s="52">
        <f t="shared" si="8"/>
      </c>
      <c r="AP30" s="48">
        <f t="shared" si="9"/>
      </c>
      <c r="AQ30" s="48">
        <f t="shared" si="10"/>
      </c>
      <c r="AR30" s="48">
        <f t="shared" si="15"/>
      </c>
      <c r="AT30" s="49" t="s">
        <v>15</v>
      </c>
    </row>
    <row r="31" spans="1:46" ht="11.25">
      <c r="A31" s="28">
        <v>25</v>
      </c>
      <c r="B31" s="28" t="str">
        <f>INDEX(T,18+WEEKDAY(AL31,1),lang)</f>
        <v>Wed</v>
      </c>
      <c r="C31" s="29" t="str">
        <f>DAY(AL31)&amp;" "&amp;INDEX(T,6+MONTH(AL31),lang)&amp;" 2011"</f>
        <v>9 Mar 2011</v>
      </c>
      <c r="D31" s="32">
        <f t="shared" si="11"/>
        <v>0.5208333333333334</v>
      </c>
      <c r="E31" s="30" t="str">
        <f>INDEX(T,35,lang)</f>
        <v>India</v>
      </c>
      <c r="F31" s="55"/>
      <c r="G31" s="55"/>
      <c r="H31" s="55"/>
      <c r="I31" s="61" t="s">
        <v>123</v>
      </c>
      <c r="J31" s="55"/>
      <c r="K31" s="55"/>
      <c r="L31" s="55"/>
      <c r="M31" s="31" t="str">
        <f>INDEX(T,37,lang)</f>
        <v>Netherlands</v>
      </c>
      <c r="N31" s="31">
        <f>IF(AM31="","",IF(AM31=0,INDEX(T,53,lang),IF(AM31&gt;0,E31,M31)&amp;" "&amp;INDEX(T,52,lang)&amp;" "&amp;IF(I31="--&gt;",IF(AM31&lt;0,-AM31&amp;" "&amp;LOWER(INDEX(T,40,lang)),(10-G31)&amp;" "&amp;LOWER(INDEX(T,70,lang))),IF(AM31&gt;0,AM31&amp;" "&amp;LOWER(INDEX(T,40,lang)),(10-K31)&amp;" "&amp;LOWER(INDEX(T,70,lang))))))</f>
      </c>
      <c r="O31" s="31" t="str">
        <f>INDEX(T,68,lang)</f>
        <v>New Delhi</v>
      </c>
      <c r="Q31" s="67"/>
      <c r="R31" s="67"/>
      <c r="S31" s="67"/>
      <c r="T31" s="67"/>
      <c r="U31" s="67"/>
      <c r="V31" s="67"/>
      <c r="W31" s="67"/>
      <c r="X31" s="67"/>
      <c r="AK31" s="48">
        <v>40610.89583333333</v>
      </c>
      <c r="AL31" s="48">
        <f t="shared" si="5"/>
        <v>40611.52083333333</v>
      </c>
      <c r="AM31" s="48">
        <f t="shared" si="6"/>
      </c>
      <c r="AN31" s="52">
        <f t="shared" si="7"/>
      </c>
      <c r="AO31" s="52">
        <f t="shared" si="8"/>
      </c>
      <c r="AP31" s="48">
        <f t="shared" si="9"/>
      </c>
      <c r="AQ31" s="48">
        <f t="shared" si="10"/>
      </c>
      <c r="AR31" s="48">
        <f t="shared" si="15"/>
      </c>
      <c r="AT31" s="49" t="s">
        <v>27</v>
      </c>
    </row>
    <row r="32" spans="1:46" ht="11.25">
      <c r="A32" s="28">
        <v>26</v>
      </c>
      <c r="B32" s="28" t="str">
        <f>INDEX(T,18+WEEKDAY(AL32,1),lang)</f>
        <v>Thu</v>
      </c>
      <c r="C32" s="29" t="str">
        <f>DAY(AL32)&amp;" "&amp;INDEX(T,6+MONTH(AL32),lang)&amp;" 2011"</f>
        <v>10 Mar 2011</v>
      </c>
      <c r="D32" s="32">
        <f t="shared" si="11"/>
        <v>0.5208333333333334</v>
      </c>
      <c r="E32" s="30" t="str">
        <f>INDEX(T,31,lang)</f>
        <v>Sri Lanka</v>
      </c>
      <c r="F32" s="55"/>
      <c r="G32" s="55"/>
      <c r="H32" s="55"/>
      <c r="I32" s="61" t="s">
        <v>123</v>
      </c>
      <c r="J32" s="55"/>
      <c r="K32" s="55"/>
      <c r="L32" s="55"/>
      <c r="M32" s="31" t="str">
        <f>INDEX(T,32,lang)</f>
        <v>Zimbabwe</v>
      </c>
      <c r="N32" s="31">
        <f>IF(AM32="","",IF(AM32=0,INDEX(T,53,lang),IF(AM32&gt;0,E32,M32)&amp;" "&amp;INDEX(T,52,lang)&amp;" "&amp;IF(I32="--&gt;",IF(AM32&lt;0,-AM32&amp;" "&amp;LOWER(INDEX(T,40,lang)),(10-G32)&amp;" "&amp;LOWER(INDEX(T,70,lang))),IF(AM32&gt;0,AM32&amp;" "&amp;LOWER(INDEX(T,40,lang)),(10-K32)&amp;" "&amp;LOWER(INDEX(T,70,lang))))))</f>
      </c>
      <c r="O32" s="31" t="str">
        <f>INDEX(T,63,lang)</f>
        <v>Kandy</v>
      </c>
      <c r="Q32" s="67"/>
      <c r="R32" s="67"/>
      <c r="S32" s="67"/>
      <c r="T32" s="67"/>
      <c r="U32" s="67"/>
      <c r="V32" s="67"/>
      <c r="W32" s="67"/>
      <c r="X32" s="67"/>
      <c r="AB32" s="49" t="str">
        <f>IF(SUM($R$18:$R$24)=42,Q18,INDEX(T,42,lang)&amp;" B1")</f>
        <v>Group B1</v>
      </c>
      <c r="AK32" s="48">
        <v>40611.89583333333</v>
      </c>
      <c r="AL32" s="48">
        <f t="shared" si="5"/>
        <v>40612.52083333333</v>
      </c>
      <c r="AM32" s="48">
        <f t="shared" si="6"/>
      </c>
      <c r="AN32" s="52">
        <f t="shared" si="7"/>
      </c>
      <c r="AO32" s="52">
        <f t="shared" si="8"/>
      </c>
      <c r="AP32" s="48">
        <f t="shared" si="9"/>
      </c>
      <c r="AQ32" s="48">
        <f t="shared" si="10"/>
      </c>
      <c r="AR32" s="48">
        <f t="shared" si="15"/>
      </c>
      <c r="AT32" s="49" t="s">
        <v>15</v>
      </c>
    </row>
    <row r="33" spans="1:46" ht="11.25">
      <c r="A33" s="28">
        <v>27</v>
      </c>
      <c r="B33" s="28" t="str">
        <f>INDEX(T,18+WEEKDAY(AL33,1),lang)</f>
        <v>Thu</v>
      </c>
      <c r="C33" s="29" t="str">
        <f>DAY(AL33)&amp;" "&amp;INDEX(T,6+MONTH(AL33),lang)&amp;" 2011"</f>
        <v>11 Mar 2011</v>
      </c>
      <c r="D33" s="32">
        <f t="shared" si="11"/>
        <v>0.3333333333333333</v>
      </c>
      <c r="E33" s="30" t="str">
        <f>INDEX(T,36,lang)</f>
        <v>Ireland</v>
      </c>
      <c r="F33" s="55"/>
      <c r="G33" s="55"/>
      <c r="H33" s="55"/>
      <c r="I33" s="61" t="s">
        <v>123</v>
      </c>
      <c r="J33" s="55"/>
      <c r="K33" s="55"/>
      <c r="L33" s="55"/>
      <c r="M33" s="31" t="str">
        <f>INDEX(T,39,lang)</f>
        <v>West Indies</v>
      </c>
      <c r="N33" s="31">
        <f>IF(AM33="","",IF(AM33=0,INDEX(T,53,lang),IF(AM33&gt;0,E33,M33)&amp;" "&amp;INDEX(T,52,lang)&amp;" "&amp;IF(I33="--&gt;",IF(AM33&lt;0,-AM33&amp;" "&amp;LOWER(INDEX(T,40,lang)),(10-G33)&amp;" "&amp;LOWER(INDEX(T,70,lang))),IF(AM33&gt;0,AM33&amp;" "&amp;LOWER(INDEX(T,40,lang)),(10-K33)&amp;" "&amp;LOWER(INDEX(T,70,lang))))))</f>
      </c>
      <c r="O33" s="31" t="str">
        <f>INDEX(T,65,lang)</f>
        <v>Mohali</v>
      </c>
      <c r="Q33" s="57"/>
      <c r="R33" s="28"/>
      <c r="S33" s="28"/>
      <c r="T33" s="28"/>
      <c r="U33" s="28"/>
      <c r="V33" s="28"/>
      <c r="W33" s="28"/>
      <c r="X33" s="2"/>
      <c r="AB33" s="49" t="str">
        <f>IF(SUM($R$18:$R$24)=42,Q19,INDEX(T,42,lang)&amp;" B2")</f>
        <v>Group B2</v>
      </c>
      <c r="AK33" s="48">
        <v>40247.70833333333</v>
      </c>
      <c r="AL33" s="48">
        <f t="shared" si="5"/>
        <v>40248.33333333333</v>
      </c>
      <c r="AM33" s="48">
        <f t="shared" si="6"/>
      </c>
      <c r="AN33" s="52">
        <f t="shared" si="7"/>
      </c>
      <c r="AO33" s="52">
        <f t="shared" si="8"/>
      </c>
      <c r="AP33" s="48">
        <f t="shared" si="9"/>
      </c>
      <c r="AQ33" s="48">
        <f t="shared" si="10"/>
      </c>
      <c r="AR33" s="48">
        <f t="shared" si="15"/>
      </c>
      <c r="AT33" s="49" t="s">
        <v>29</v>
      </c>
    </row>
    <row r="34" spans="1:46" ht="11.25">
      <c r="A34" s="28">
        <v>28</v>
      </c>
      <c r="B34" s="28" t="str">
        <f>INDEX(T,18+WEEKDAY(AL34,1),lang)</f>
        <v>Thu</v>
      </c>
      <c r="C34" s="29" t="str">
        <f>DAY(AL34)&amp;" "&amp;INDEX(T,6+MONTH(AL34),lang)&amp;" 2011"</f>
        <v>11 Mar 2011</v>
      </c>
      <c r="D34" s="32">
        <f t="shared" si="11"/>
        <v>0.5208333333333334</v>
      </c>
      <c r="E34" s="30" t="str">
        <f>INDEX(T,33,lang)</f>
        <v>Bangladesh</v>
      </c>
      <c r="F34" s="55"/>
      <c r="G34" s="55"/>
      <c r="H34" s="55"/>
      <c r="I34" s="61" t="s">
        <v>123</v>
      </c>
      <c r="J34" s="55"/>
      <c r="K34" s="55"/>
      <c r="L34" s="55"/>
      <c r="M34" s="31" t="str">
        <f>INDEX(T,34,lang)</f>
        <v>England</v>
      </c>
      <c r="N34" s="31">
        <f>IF(AM34="","",IF(AM34=0,INDEX(T,53,lang),IF(AM34&gt;0,E34,M34)&amp;" "&amp;INDEX(T,52,lang)&amp;" "&amp;IF(I34="--&gt;",IF(AM34&lt;0,-AM34&amp;" "&amp;LOWER(INDEX(T,40,lang)),(10-G34)&amp;" "&amp;LOWER(INDEX(T,70,lang))),IF(AM34&gt;0,AM34&amp;" "&amp;LOWER(INDEX(T,40,lang)),(10-K34)&amp;" "&amp;LOWER(INDEX(T,70,lang))))))</f>
      </c>
      <c r="O34" s="31" t="str">
        <f>INDEX(T,58,lang)</f>
        <v>Chittagong</v>
      </c>
      <c r="Q34" s="67"/>
      <c r="R34" s="67"/>
      <c r="S34" s="67"/>
      <c r="T34" s="67"/>
      <c r="U34" s="67"/>
      <c r="V34" s="67"/>
      <c r="W34" s="67"/>
      <c r="X34" s="67"/>
      <c r="AB34" s="49" t="str">
        <f>IF(SUM($R$18:$R$24)=42,Q20,INDEX(T,42,lang)&amp;" B3")</f>
        <v>Group B3</v>
      </c>
      <c r="AK34" s="48">
        <v>40247.89583333333</v>
      </c>
      <c r="AL34" s="48">
        <f t="shared" si="5"/>
        <v>40248.52083333333</v>
      </c>
      <c r="AM34" s="48">
        <f t="shared" si="6"/>
      </c>
      <c r="AN34" s="52">
        <f t="shared" si="7"/>
      </c>
      <c r="AO34" s="52">
        <f t="shared" si="8"/>
      </c>
      <c r="AP34" s="48">
        <f t="shared" si="9"/>
      </c>
      <c r="AQ34" s="48">
        <f t="shared" si="10"/>
      </c>
      <c r="AR34" s="48">
        <f t="shared" si="15"/>
      </c>
      <c r="AT34" s="49" t="s">
        <v>30</v>
      </c>
    </row>
    <row r="35" spans="1:46" ht="11.25">
      <c r="A35" s="28">
        <v>29</v>
      </c>
      <c r="B35" s="28" t="str">
        <f>INDEX(T,18+WEEKDAY(AL35,1),lang)</f>
        <v>Sat</v>
      </c>
      <c r="C35" s="29" t="str">
        <f>DAY(AL35)&amp;" "&amp;INDEX(T,6+MONTH(AL35),lang)&amp;" 2011"</f>
        <v>12 Mar 2011</v>
      </c>
      <c r="D35" s="32">
        <f t="shared" si="11"/>
        <v>0.5208333333333334</v>
      </c>
      <c r="E35" s="30" t="str">
        <f>INDEX(T,35,lang)</f>
        <v>India</v>
      </c>
      <c r="F35" s="55"/>
      <c r="G35" s="55"/>
      <c r="H35" s="55"/>
      <c r="I35" s="61" t="s">
        <v>123</v>
      </c>
      <c r="J35" s="55"/>
      <c r="K35" s="55"/>
      <c r="L35" s="55"/>
      <c r="M35" s="31" t="str">
        <f>INDEX(T,38,lang)</f>
        <v>South Africa</v>
      </c>
      <c r="N35" s="31">
        <f>IF(AM35="","",IF(AM35=0,INDEX(T,53,lang),IF(AM35&gt;0,E35,M35)&amp;" "&amp;INDEX(T,52,lang)&amp;" "&amp;IF(I35="--&gt;",IF(AM35&lt;0,-AM35&amp;" "&amp;LOWER(INDEX(T,40,lang)),(10-G35)&amp;" "&amp;LOWER(INDEX(T,70,lang))),IF(AM35&gt;0,AM35&amp;" "&amp;LOWER(INDEX(T,40,lang)),(10-K35)&amp;" "&amp;LOWER(INDEX(T,70,lang))))))</f>
      </c>
      <c r="O35" s="31" t="str">
        <f>INDEX(T,67,lang)</f>
        <v>Nagpur</v>
      </c>
      <c r="Q35" s="57"/>
      <c r="R35" s="28"/>
      <c r="S35" s="28"/>
      <c r="T35" s="28"/>
      <c r="U35" s="28"/>
      <c r="V35" s="28"/>
      <c r="W35" s="28"/>
      <c r="AB35" s="49" t="str">
        <f>IF(SUM($R$18:$R$24)=42,Q21,INDEX(T,42,lang)&amp;" B4")</f>
        <v>Group B4</v>
      </c>
      <c r="AK35" s="48">
        <v>40613.89583333333</v>
      </c>
      <c r="AL35" s="48">
        <f t="shared" si="5"/>
        <v>40614.52083333333</v>
      </c>
      <c r="AM35" s="48">
        <f t="shared" si="6"/>
      </c>
      <c r="AN35" s="52">
        <f t="shared" si="7"/>
      </c>
      <c r="AO35" s="52">
        <f t="shared" si="8"/>
      </c>
      <c r="AP35" s="48">
        <f t="shared" si="9"/>
      </c>
      <c r="AQ35" s="48">
        <f t="shared" si="10"/>
      </c>
      <c r="AR35" s="48">
        <f t="shared" si="15"/>
      </c>
      <c r="AT35" s="49" t="s">
        <v>12</v>
      </c>
    </row>
    <row r="36" spans="1:46" ht="11.25">
      <c r="A36" s="28">
        <v>30</v>
      </c>
      <c r="B36" s="28" t="str">
        <f>INDEX(T,18+WEEKDAY(AL36,1),lang)</f>
        <v>Sun</v>
      </c>
      <c r="C36" s="29" t="str">
        <f>DAY(AL36)&amp;" "&amp;INDEX(T,6+MONTH(AL36),lang)&amp;" 2011"</f>
        <v>13 Mar 2011</v>
      </c>
      <c r="D36" s="32">
        <f t="shared" si="11"/>
        <v>0.3333333333333333</v>
      </c>
      <c r="E36" s="30" t="str">
        <f>INDEX(T,29,lang)</f>
        <v>New Zealand</v>
      </c>
      <c r="F36" s="55"/>
      <c r="G36" s="55"/>
      <c r="H36" s="55"/>
      <c r="I36" s="61" t="s">
        <v>123</v>
      </c>
      <c r="J36" s="55"/>
      <c r="K36" s="55"/>
      <c r="L36" s="55"/>
      <c r="M36" s="31" t="str">
        <f>INDEX(T,27,lang)</f>
        <v>Canada</v>
      </c>
      <c r="N36" s="31">
        <f>IF(AM36="","",IF(AM36=0,INDEX(T,53,lang),IF(AM36&gt;0,E36,M36)&amp;" "&amp;INDEX(T,52,lang)&amp;" "&amp;IF(I36="--&gt;",IF(AM36&lt;0,-AM36&amp;" "&amp;LOWER(INDEX(T,40,lang)),(10-G36)&amp;" "&amp;LOWER(INDEX(T,70,lang))),IF(AM36&gt;0,AM36&amp;" "&amp;LOWER(INDEX(T,40,lang)),(10-K36)&amp;" "&amp;LOWER(INDEX(T,70,lang))))))</f>
      </c>
      <c r="O36" s="31" t="str">
        <f>INDEX(T,66,lang)</f>
        <v>Mumbai</v>
      </c>
      <c r="Q36" s="67"/>
      <c r="R36" s="67"/>
      <c r="S36" s="67"/>
      <c r="T36" s="67"/>
      <c r="U36" s="67"/>
      <c r="V36" s="67"/>
      <c r="W36" s="67"/>
      <c r="X36" s="67"/>
      <c r="AK36" s="48">
        <v>40614.70833333333</v>
      </c>
      <c r="AL36" s="48">
        <f t="shared" si="5"/>
        <v>40615.33333333333</v>
      </c>
      <c r="AM36" s="48">
        <f t="shared" si="6"/>
      </c>
      <c r="AN36" s="52">
        <f t="shared" si="7"/>
      </c>
      <c r="AO36" s="52">
        <f t="shared" si="8"/>
      </c>
      <c r="AP36" s="48">
        <f t="shared" si="9"/>
      </c>
      <c r="AQ36" s="48">
        <f t="shared" si="10"/>
      </c>
      <c r="AR36" s="48">
        <f t="shared" si="15"/>
      </c>
      <c r="AT36" s="49" t="s">
        <v>16</v>
      </c>
    </row>
    <row r="37" spans="1:46" ht="11.25">
      <c r="A37" s="28">
        <v>31</v>
      </c>
      <c r="B37" s="28" t="str">
        <f>INDEX(T,18+WEEKDAY(AL37,1),lang)</f>
        <v>Sun</v>
      </c>
      <c r="C37" s="29" t="str">
        <f>DAY(AL37)&amp;" "&amp;INDEX(T,6+MONTH(AL37),lang)&amp;" 2011"</f>
        <v>13 Mar 2011</v>
      </c>
      <c r="D37" s="32">
        <f t="shared" si="11"/>
        <v>0.5208333333333334</v>
      </c>
      <c r="E37" s="30" t="str">
        <f>INDEX(T,26,lang)</f>
        <v>Australia</v>
      </c>
      <c r="F37" s="55"/>
      <c r="G37" s="55"/>
      <c r="H37" s="55"/>
      <c r="I37" s="61" t="s">
        <v>123</v>
      </c>
      <c r="J37" s="55"/>
      <c r="K37" s="55"/>
      <c r="L37" s="55"/>
      <c r="M37" s="31" t="str">
        <f>INDEX(T,28,lang)</f>
        <v>Kenya</v>
      </c>
      <c r="N37" s="31">
        <f>IF(AM37="","",IF(AM37=0,INDEX(T,53,lang),IF(AM37&gt;0,E37,M37)&amp;" "&amp;INDEX(T,52,lang)&amp;" "&amp;IF(I37="--&gt;",IF(AM37&lt;0,-AM37&amp;" "&amp;LOWER(INDEX(T,40,lang)),(10-G37)&amp;" "&amp;LOWER(INDEX(T,70,lang))),IF(AM37&gt;0,AM37&amp;" "&amp;LOWER(INDEX(T,40,lang)),(10-K37)&amp;" "&amp;LOWER(INDEX(T,70,lang))))))</f>
      </c>
      <c r="O37" s="31" t="str">
        <f>INDEX(T,56,lang)</f>
        <v>Bengaluru</v>
      </c>
      <c r="Q37" s="57"/>
      <c r="R37" s="28"/>
      <c r="S37" s="28"/>
      <c r="T37" s="28"/>
      <c r="U37" s="28"/>
      <c r="V37" s="28"/>
      <c r="W37" s="28"/>
      <c r="AK37" s="48">
        <v>40614.89583333333</v>
      </c>
      <c r="AL37" s="48">
        <f t="shared" si="5"/>
        <v>40615.52083333333</v>
      </c>
      <c r="AM37" s="48">
        <f t="shared" si="6"/>
      </c>
      <c r="AN37" s="52">
        <f t="shared" si="7"/>
      </c>
      <c r="AO37" s="52">
        <f t="shared" si="8"/>
      </c>
      <c r="AP37" s="48">
        <f t="shared" si="9"/>
      </c>
      <c r="AQ37" s="48">
        <f t="shared" si="10"/>
      </c>
      <c r="AR37" s="48">
        <f t="shared" si="15"/>
      </c>
      <c r="AT37" s="49" t="s">
        <v>17</v>
      </c>
    </row>
    <row r="38" spans="1:46" ht="11.25">
      <c r="A38" s="28">
        <v>32</v>
      </c>
      <c r="B38" s="28" t="str">
        <f>INDEX(T,18+WEEKDAY(AL38,1),lang)</f>
        <v>Mon</v>
      </c>
      <c r="C38" s="29" t="str">
        <f>DAY(AL38)&amp;" "&amp;INDEX(T,6+MONTH(AL38),lang)&amp;" 2011"</f>
        <v>14 Mar 2011</v>
      </c>
      <c r="D38" s="32">
        <f t="shared" si="11"/>
        <v>0.5208333333333334</v>
      </c>
      <c r="E38" s="30" t="str">
        <f>INDEX(T,30,lang)</f>
        <v>Pakistan</v>
      </c>
      <c r="F38" s="55"/>
      <c r="G38" s="55"/>
      <c r="H38" s="55"/>
      <c r="I38" s="61" t="s">
        <v>123</v>
      </c>
      <c r="J38" s="55"/>
      <c r="K38" s="55"/>
      <c r="L38" s="55"/>
      <c r="M38" s="31" t="str">
        <f>INDEX(T,32,lang)</f>
        <v>Zimbabwe</v>
      </c>
      <c r="N38" s="31">
        <f>IF(AM38="","",IF(AM38=0,INDEX(T,53,lang),IF(AM38&gt;0,E38,M38)&amp;" "&amp;INDEX(T,52,lang)&amp;" "&amp;IF(I38="--&gt;",IF(AM38&lt;0,-AM38&amp;" "&amp;LOWER(INDEX(T,40,lang)),(10-G38)&amp;" "&amp;LOWER(INDEX(T,70,lang))),IF(AM38&gt;0,AM38&amp;" "&amp;LOWER(INDEX(T,40,lang)),(10-K38)&amp;" "&amp;LOWER(INDEX(T,70,lang))))))</f>
      </c>
      <c r="O38" s="31" t="str">
        <f>INDEX(T,63,lang)</f>
        <v>Kandy</v>
      </c>
      <c r="Q38" s="57"/>
      <c r="R38" s="57"/>
      <c r="S38" s="57"/>
      <c r="T38" s="57"/>
      <c r="U38" s="57"/>
      <c r="V38" s="57"/>
      <c r="W38" s="57"/>
      <c r="AK38" s="48">
        <v>40615.89583333333</v>
      </c>
      <c r="AL38" s="48">
        <f t="shared" si="5"/>
        <v>40616.52083333333</v>
      </c>
      <c r="AM38" s="48">
        <f t="shared" si="6"/>
      </c>
      <c r="AN38" s="52">
        <f t="shared" si="7"/>
      </c>
      <c r="AO38" s="52">
        <f t="shared" si="8"/>
      </c>
      <c r="AP38" s="48">
        <f t="shared" si="9"/>
      </c>
      <c r="AQ38" s="48">
        <f t="shared" si="10"/>
      </c>
      <c r="AR38" s="48">
        <f t="shared" si="15"/>
      </c>
      <c r="AT38" s="49" t="s">
        <v>15</v>
      </c>
    </row>
    <row r="39" spans="1:46" ht="11.25">
      <c r="A39" s="28">
        <v>33</v>
      </c>
      <c r="B39" s="28" t="str">
        <f>INDEX(T,18+WEEKDAY(AL39,1),lang)</f>
        <v>Mon</v>
      </c>
      <c r="C39" s="29" t="str">
        <f>DAY(AL39)&amp;" "&amp;INDEX(T,6+MONTH(AL39),lang)&amp;" 2011"</f>
        <v>14 Mar 2011</v>
      </c>
      <c r="D39" s="32">
        <f t="shared" si="11"/>
        <v>0.3333333333333333</v>
      </c>
      <c r="E39" s="30" t="str">
        <f>INDEX(T,33,lang)</f>
        <v>Bangladesh</v>
      </c>
      <c r="F39" s="55"/>
      <c r="G39" s="55"/>
      <c r="H39" s="55"/>
      <c r="I39" s="61" t="s">
        <v>123</v>
      </c>
      <c r="J39" s="55"/>
      <c r="K39" s="55"/>
      <c r="L39" s="55"/>
      <c r="M39" s="31" t="str">
        <f>INDEX(T,37,lang)</f>
        <v>Netherlands</v>
      </c>
      <c r="N39" s="31">
        <f>IF(AM39="","",IF(AM39=0,INDEX(T,53,lang),IF(AM39&gt;0,E39,M39)&amp;" "&amp;INDEX(T,52,lang)&amp;" "&amp;IF(I39="--&gt;",IF(AM39&lt;0,-AM39&amp;" "&amp;LOWER(INDEX(T,40,lang)),(10-G39)&amp;" "&amp;LOWER(INDEX(T,70,lang))),IF(AM39&gt;0,AM39&amp;" "&amp;LOWER(INDEX(T,40,lang)),(10-K39)&amp;" "&amp;LOWER(INDEX(T,70,lang))))))</f>
      </c>
      <c r="O39" s="31" t="str">
        <f>INDEX(T,58,lang)</f>
        <v>Chittagong</v>
      </c>
      <c r="Q39" s="57"/>
      <c r="R39" s="57"/>
      <c r="S39" s="57"/>
      <c r="T39" s="57"/>
      <c r="U39" s="57"/>
      <c r="V39" s="57"/>
      <c r="W39" s="57"/>
      <c r="AB39" s="49" t="str">
        <f>IF(OR(AM52="",AM52=0),INDEX(T,51,lang)&amp;" 43",IF(AM52&lt;0,M52,IF(AM52&gt;0,E52,)))</f>
        <v>Winner of Match 43</v>
      </c>
      <c r="AK39" s="48">
        <v>40615.70833333333</v>
      </c>
      <c r="AL39" s="48">
        <f t="shared" si="5"/>
        <v>40616.33333333333</v>
      </c>
      <c r="AM39" s="48">
        <f t="shared" si="6"/>
      </c>
      <c r="AN39" s="52">
        <f t="shared" si="7"/>
      </c>
      <c r="AO39" s="52">
        <f t="shared" si="8"/>
      </c>
      <c r="AP39" s="48">
        <f t="shared" si="9"/>
      </c>
      <c r="AQ39" s="48">
        <f t="shared" si="10"/>
      </c>
      <c r="AR39" s="48">
        <f t="shared" si="15"/>
      </c>
      <c r="AT39" s="49" t="s">
        <v>30</v>
      </c>
    </row>
    <row r="40" spans="1:46" ht="11.25">
      <c r="A40" s="28">
        <v>34</v>
      </c>
      <c r="B40" s="28" t="str">
        <f>INDEX(T,18+WEEKDAY(AL40,1),lang)</f>
        <v>Tue</v>
      </c>
      <c r="C40" s="29" t="str">
        <f>DAY(AL40)&amp;" "&amp;INDEX(T,6+MONTH(AL40),lang)&amp;" 2011"</f>
        <v>15 Mar 2011</v>
      </c>
      <c r="D40" s="32">
        <f t="shared" si="11"/>
        <v>0.5208333333333334</v>
      </c>
      <c r="E40" s="30" t="str">
        <f>INDEX(T,38,lang)</f>
        <v>South Africa</v>
      </c>
      <c r="F40" s="55"/>
      <c r="G40" s="55"/>
      <c r="H40" s="55"/>
      <c r="I40" s="61" t="s">
        <v>123</v>
      </c>
      <c r="J40" s="55"/>
      <c r="K40" s="55"/>
      <c r="L40" s="55"/>
      <c r="M40" s="31" t="str">
        <f>INDEX(T,36,lang)</f>
        <v>Ireland</v>
      </c>
      <c r="N40" s="31">
        <f>IF(AM40="","",IF(AM40=0,INDEX(T,53,lang),IF(AM40&gt;0,E40,M40)&amp;" "&amp;INDEX(T,52,lang)&amp;" "&amp;IF(I40="--&gt;",IF(AM40&lt;0,-AM40&amp;" "&amp;LOWER(INDEX(T,40,lang)),(10-G40)&amp;" "&amp;LOWER(INDEX(T,70,lang))),IF(AM40&gt;0,AM40&amp;" "&amp;LOWER(INDEX(T,40,lang)),(10-K40)&amp;" "&amp;LOWER(INDEX(T,70,lang))))))</f>
      </c>
      <c r="O40" s="31" t="str">
        <f>INDEX(T,64,lang)</f>
        <v>Kolkata</v>
      </c>
      <c r="Q40" s="57"/>
      <c r="R40" s="57"/>
      <c r="S40" s="57"/>
      <c r="T40" s="57"/>
      <c r="U40" s="57"/>
      <c r="V40" s="57"/>
      <c r="W40" s="57"/>
      <c r="AB40" s="49" t="str">
        <f>IF(OR(AM53="",AM53=0),INDEX(T,51,lang)&amp;" 44",IF(AM53&lt;0,M53,IF(AM53&gt;0,E53,)))</f>
        <v>Winner of Match 44</v>
      </c>
      <c r="AK40" s="48">
        <v>40616.89583333333</v>
      </c>
      <c r="AL40" s="48">
        <f t="shared" si="5"/>
        <v>40617.52083333333</v>
      </c>
      <c r="AM40" s="48">
        <f t="shared" si="6"/>
      </c>
      <c r="AN40" s="52">
        <f t="shared" si="7"/>
      </c>
      <c r="AO40" s="52">
        <f t="shared" si="8"/>
      </c>
      <c r="AP40" s="48">
        <f t="shared" si="9"/>
      </c>
      <c r="AQ40" s="48">
        <f t="shared" si="10"/>
      </c>
      <c r="AR40" s="48">
        <f t="shared" si="15"/>
      </c>
      <c r="AT40" s="49" t="s">
        <v>18</v>
      </c>
    </row>
    <row r="41" spans="1:46" ht="11.25">
      <c r="A41" s="28">
        <v>35</v>
      </c>
      <c r="B41" s="28" t="str">
        <f>INDEX(T,18+WEEKDAY(AL41,1),lang)</f>
        <v>Wed</v>
      </c>
      <c r="C41" s="29" t="str">
        <f>DAY(AL41)&amp;" "&amp;INDEX(T,6+MONTH(AL41),lang)&amp;" 2011"</f>
        <v>16 Mar 2011</v>
      </c>
      <c r="D41" s="32">
        <f t="shared" si="11"/>
        <v>0.5208333333333334</v>
      </c>
      <c r="E41" s="30" t="str">
        <f>INDEX(T,26,lang)</f>
        <v>Australia</v>
      </c>
      <c r="F41" s="55"/>
      <c r="G41" s="55"/>
      <c r="H41" s="55"/>
      <c r="I41" s="61" t="s">
        <v>123</v>
      </c>
      <c r="J41" s="55"/>
      <c r="K41" s="55"/>
      <c r="L41" s="55"/>
      <c r="M41" s="31" t="str">
        <f>INDEX(T,27,lang)</f>
        <v>Canada</v>
      </c>
      <c r="N41" s="31">
        <f>IF(AM41="","",IF(AM41=0,INDEX(T,53,lang),IF(AM41&gt;0,E41,M41)&amp;" "&amp;INDEX(T,52,lang)&amp;" "&amp;IF(I41="--&gt;",IF(AM41&lt;0,-AM41&amp;" "&amp;LOWER(INDEX(T,40,lang)),(10-G41)&amp;" "&amp;LOWER(INDEX(T,70,lang))),IF(AM41&gt;0,AM41&amp;" "&amp;LOWER(INDEX(T,40,lang)),(10-K41)&amp;" "&amp;LOWER(INDEX(T,70,lang))))))</f>
      </c>
      <c r="O41" s="31" t="str">
        <f>INDEX(T,56,lang)</f>
        <v>Bengaluru</v>
      </c>
      <c r="Q41" s="57"/>
      <c r="R41" s="57"/>
      <c r="S41" s="57"/>
      <c r="T41" s="57"/>
      <c r="U41" s="57"/>
      <c r="V41" s="57"/>
      <c r="W41" s="57"/>
      <c r="AB41" s="49" t="str">
        <f>IF(OR(AM54="",AM54=0),INDEX(T,51,lang)&amp;" 45",IF(AM54&lt;0,M54,IF(AM54&gt;0,E54,)))</f>
        <v>Winner of Match 45</v>
      </c>
      <c r="AK41" s="48">
        <v>40617.89583333333</v>
      </c>
      <c r="AL41" s="48">
        <f t="shared" si="5"/>
        <v>40618.52083333333</v>
      </c>
      <c r="AM41" s="48">
        <f t="shared" si="6"/>
      </c>
      <c r="AN41" s="52">
        <f t="shared" si="7"/>
      </c>
      <c r="AO41" s="52">
        <f t="shared" si="8"/>
      </c>
      <c r="AP41" s="48">
        <f t="shared" si="9"/>
      </c>
      <c r="AQ41" s="48">
        <f t="shared" si="10"/>
      </c>
      <c r="AR41" s="48">
        <f t="shared" si="15"/>
      </c>
      <c r="AT41" s="49" t="s">
        <v>17</v>
      </c>
    </row>
    <row r="42" spans="1:46" ht="11.25">
      <c r="A42" s="28">
        <v>36</v>
      </c>
      <c r="B42" s="28" t="str">
        <f>INDEX(T,18+WEEKDAY(AL42,1),lang)</f>
        <v>Thu</v>
      </c>
      <c r="C42" s="29" t="str">
        <f>DAY(AL42)&amp;" "&amp;INDEX(T,6+MONTH(AL42),lang)&amp;" 2011"</f>
        <v>17 Mar 2011</v>
      </c>
      <c r="D42" s="32">
        <f t="shared" si="11"/>
        <v>0.5208333333333334</v>
      </c>
      <c r="E42" s="30" t="str">
        <f>INDEX(T,34,lang)</f>
        <v>England</v>
      </c>
      <c r="F42" s="55"/>
      <c r="G42" s="55"/>
      <c r="H42" s="55"/>
      <c r="I42" s="61" t="s">
        <v>123</v>
      </c>
      <c r="J42" s="55"/>
      <c r="K42" s="55"/>
      <c r="L42" s="55"/>
      <c r="M42" s="31" t="str">
        <f>INDEX(T,39,lang)</f>
        <v>West Indies</v>
      </c>
      <c r="N42" s="31">
        <f>IF(AM42="","",IF(AM42=0,INDEX(T,53,lang),IF(AM42&gt;0,E42,M42)&amp;" "&amp;INDEX(T,52,lang)&amp;" "&amp;IF(I42="--&gt;",IF(AM42&lt;0,-AM42&amp;" "&amp;LOWER(INDEX(T,40,lang)),(10-G42)&amp;" "&amp;LOWER(INDEX(T,70,lang))),IF(AM42&gt;0,AM42&amp;" "&amp;LOWER(INDEX(T,40,lang)),(10-K42)&amp;" "&amp;LOWER(INDEX(T,70,lang))))))</f>
      </c>
      <c r="O42" s="31" t="str">
        <f>INDEX(T,57,lang)</f>
        <v>Chennai</v>
      </c>
      <c r="Q42" s="57"/>
      <c r="R42" s="57"/>
      <c r="S42" s="57"/>
      <c r="T42" s="57"/>
      <c r="U42" s="57"/>
      <c r="V42" s="57"/>
      <c r="W42" s="57"/>
      <c r="AB42" s="49" t="str">
        <f>IF(OR(AM55="",AM55=0),INDEX(T,51,lang)&amp;" 46",IF(AM55&lt;0,M55,IF(AM55&gt;0,E55,)))</f>
        <v>Winner of Match 46</v>
      </c>
      <c r="AK42" s="48">
        <v>40618.89583333333</v>
      </c>
      <c r="AL42" s="48">
        <f t="shared" si="5"/>
        <v>40619.52083333333</v>
      </c>
      <c r="AM42" s="48">
        <f t="shared" si="6"/>
      </c>
      <c r="AN42" s="52">
        <f t="shared" si="7"/>
      </c>
      <c r="AO42" s="52">
        <f t="shared" si="8"/>
      </c>
      <c r="AP42" s="48">
        <f t="shared" si="9"/>
      </c>
      <c r="AQ42" s="48">
        <f t="shared" si="10"/>
      </c>
      <c r="AR42" s="48">
        <f t="shared" si="15"/>
      </c>
      <c r="AT42" s="49" t="s">
        <v>9</v>
      </c>
    </row>
    <row r="43" spans="1:46" ht="11.25">
      <c r="A43" s="28">
        <v>37</v>
      </c>
      <c r="B43" s="28" t="str">
        <f>INDEX(T,18+WEEKDAY(AL43,1),lang)</f>
        <v>Fri</v>
      </c>
      <c r="C43" s="29" t="str">
        <f>DAY(AL43)&amp;" "&amp;INDEX(T,6+MONTH(AL43),lang)&amp;" 2011"</f>
        <v>18 Mar 2011</v>
      </c>
      <c r="D43" s="32">
        <f t="shared" si="11"/>
        <v>0.5208333333333334</v>
      </c>
      <c r="E43" s="30" t="str">
        <f>INDEX(T,31,lang)</f>
        <v>Sri Lanka</v>
      </c>
      <c r="F43" s="55"/>
      <c r="G43" s="55"/>
      <c r="H43" s="55"/>
      <c r="I43" s="61" t="s">
        <v>123</v>
      </c>
      <c r="J43" s="55"/>
      <c r="K43" s="55"/>
      <c r="L43" s="55"/>
      <c r="M43" s="31" t="str">
        <f>INDEX(T,29,lang)</f>
        <v>New Zealand</v>
      </c>
      <c r="N43" s="31">
        <f>IF(AM43="","",IF(AM43=0,INDEX(T,53,lang),IF(AM43&gt;0,E43,M43)&amp;" "&amp;INDEX(T,52,lang)&amp;" "&amp;IF(I43="--&gt;",IF(AM43&lt;0,-AM43&amp;" "&amp;LOWER(INDEX(T,40,lang)),(10-G43)&amp;" "&amp;LOWER(INDEX(T,70,lang))),IF(AM43&gt;0,AM43&amp;" "&amp;LOWER(INDEX(T,40,lang)),(10-K43)&amp;" "&amp;LOWER(INDEX(T,70,lang))))))</f>
      </c>
      <c r="O43" s="31" t="str">
        <f>INDEX(T,66,lang)</f>
        <v>Mumbai</v>
      </c>
      <c r="Q43" s="57"/>
      <c r="R43" s="57"/>
      <c r="S43" s="57"/>
      <c r="T43" s="57"/>
      <c r="U43" s="57"/>
      <c r="V43" s="57"/>
      <c r="W43" s="57"/>
      <c r="AK43" s="48">
        <v>40619.89583333333</v>
      </c>
      <c r="AL43" s="48">
        <f t="shared" si="5"/>
        <v>40620.52083333333</v>
      </c>
      <c r="AM43" s="48">
        <f t="shared" si="6"/>
      </c>
      <c r="AN43" s="52">
        <f t="shared" si="7"/>
      </c>
      <c r="AO43" s="52">
        <f t="shared" si="8"/>
      </c>
      <c r="AP43" s="48">
        <f t="shared" si="9"/>
      </c>
      <c r="AQ43" s="48">
        <f t="shared" si="10"/>
      </c>
      <c r="AR43" s="48">
        <f t="shared" si="15"/>
      </c>
      <c r="AT43" s="49" t="s">
        <v>16</v>
      </c>
    </row>
    <row r="44" spans="1:46" ht="11.25">
      <c r="A44" s="28">
        <v>38</v>
      </c>
      <c r="B44" s="28" t="str">
        <f>INDEX(T,18+WEEKDAY(AL44,1),lang)</f>
        <v>Fri</v>
      </c>
      <c r="C44" s="29" t="str">
        <f>DAY(AL44)&amp;" "&amp;INDEX(T,6+MONTH(AL44),lang)&amp;" 2011"</f>
        <v>18 Mar 2011</v>
      </c>
      <c r="D44" s="32">
        <f t="shared" si="11"/>
        <v>0.3333333333333333</v>
      </c>
      <c r="E44" s="30" t="str">
        <f>INDEX(T,36,lang)</f>
        <v>Ireland</v>
      </c>
      <c r="F44" s="55"/>
      <c r="G44" s="55"/>
      <c r="H44" s="55"/>
      <c r="I44" s="61" t="s">
        <v>123</v>
      </c>
      <c r="J44" s="55"/>
      <c r="K44" s="55"/>
      <c r="L44" s="55"/>
      <c r="M44" s="31" t="str">
        <f>INDEX(T,37,lang)</f>
        <v>Netherlands</v>
      </c>
      <c r="N44" s="31">
        <f>IF(AM44="","",IF(AM44=0,INDEX(T,53,lang),IF(AM44&gt;0,E44,M44)&amp;" "&amp;INDEX(T,52,lang)&amp;" "&amp;IF(I44="--&gt;",IF(AM44&lt;0,-AM44&amp;" "&amp;LOWER(INDEX(T,40,lang)),(10-G44)&amp;" "&amp;LOWER(INDEX(T,70,lang))),IF(AM44&gt;0,AM44&amp;" "&amp;LOWER(INDEX(T,40,lang)),(10-K44)&amp;" "&amp;LOWER(INDEX(T,70,lang))))))</f>
      </c>
      <c r="O44" s="31" t="str">
        <f>INDEX(T,64,lang)</f>
        <v>Kolkata</v>
      </c>
      <c r="Q44" s="57"/>
      <c r="R44" s="57"/>
      <c r="S44" s="57"/>
      <c r="T44" s="57"/>
      <c r="U44" s="57"/>
      <c r="V44" s="57"/>
      <c r="W44" s="57"/>
      <c r="AK44" s="48">
        <v>40619.70833333333</v>
      </c>
      <c r="AL44" s="48">
        <f t="shared" si="5"/>
        <v>40620.33333333333</v>
      </c>
      <c r="AM44" s="48">
        <f t="shared" si="6"/>
      </c>
      <c r="AN44" s="52">
        <f t="shared" si="7"/>
      </c>
      <c r="AO44" s="52">
        <f t="shared" si="8"/>
      </c>
      <c r="AP44" s="48">
        <f t="shared" si="9"/>
      </c>
      <c r="AQ44" s="48">
        <f t="shared" si="10"/>
      </c>
      <c r="AR44" s="48">
        <f t="shared" si="15"/>
      </c>
      <c r="AT44" s="49" t="s">
        <v>18</v>
      </c>
    </row>
    <row r="45" spans="1:46" ht="11.25">
      <c r="A45" s="28">
        <v>39</v>
      </c>
      <c r="B45" s="28" t="str">
        <f>INDEX(T,18+WEEKDAY(AL45,1),lang)</f>
        <v>Sat</v>
      </c>
      <c r="C45" s="29" t="str">
        <f>DAY(AL45)&amp;" "&amp;INDEX(T,6+MONTH(AL45),lang)&amp;" 2011"</f>
        <v>19 Mar 2011</v>
      </c>
      <c r="D45" s="32">
        <f t="shared" si="11"/>
        <v>0.5208333333333334</v>
      </c>
      <c r="E45" s="30" t="str">
        <f>INDEX(T,30,lang)</f>
        <v>Pakistan</v>
      </c>
      <c r="F45" s="55"/>
      <c r="G45" s="55"/>
      <c r="H45" s="55"/>
      <c r="I45" s="61" t="s">
        <v>123</v>
      </c>
      <c r="J45" s="55"/>
      <c r="K45" s="55"/>
      <c r="L45" s="55"/>
      <c r="M45" s="31" t="str">
        <f>INDEX(T,26,lang)</f>
        <v>Australia</v>
      </c>
      <c r="N45" s="31">
        <f>IF(AM45="","",IF(AM45=0,INDEX(T,53,lang),IF(AM45&gt;0,E45,M45)&amp;" "&amp;INDEX(T,52,lang)&amp;" "&amp;IF(I45="--&gt;",IF(AM45&lt;0,-AM45&amp;" "&amp;LOWER(INDEX(T,40,lang)),(10-G45)&amp;" "&amp;LOWER(INDEX(T,70,lang))),IF(AM45&gt;0,AM45&amp;" "&amp;LOWER(INDEX(T,40,lang)),(10-K45)&amp;" "&amp;LOWER(INDEX(T,70,lang))))))</f>
      </c>
      <c r="O45" s="31" t="str">
        <f>INDEX(T,59,lang)</f>
        <v>Colombo</v>
      </c>
      <c r="Q45" s="57"/>
      <c r="R45" s="57"/>
      <c r="S45" s="57"/>
      <c r="T45" s="57"/>
      <c r="U45" s="57"/>
      <c r="V45" s="57"/>
      <c r="W45" s="57"/>
      <c r="AB45" s="49" t="str">
        <f>IF(OR(AM59="",AM59=0),INDEX(T,51,lang)&amp;" 47",IF(AM59&lt;0,M59,IF(AM59&gt;0,E59,)))</f>
        <v>Winner of Match 47</v>
      </c>
      <c r="AK45" s="48">
        <v>40620.89583333333</v>
      </c>
      <c r="AL45" s="48">
        <f t="shared" si="5"/>
        <v>40621.52083333333</v>
      </c>
      <c r="AM45" s="48">
        <f t="shared" si="6"/>
      </c>
      <c r="AN45" s="52">
        <f t="shared" si="7"/>
      </c>
      <c r="AO45" s="52">
        <f t="shared" si="8"/>
      </c>
      <c r="AP45" s="48">
        <f t="shared" si="9"/>
      </c>
      <c r="AQ45" s="48">
        <f t="shared" si="10"/>
      </c>
      <c r="AR45" s="48">
        <f t="shared" si="15"/>
      </c>
      <c r="AT45" s="49" t="s">
        <v>13</v>
      </c>
    </row>
    <row r="46" spans="1:46" ht="11.25">
      <c r="A46" s="28">
        <v>40</v>
      </c>
      <c r="B46" s="28" t="str">
        <f>INDEX(T,18+WEEKDAY(AL46,1),lang)</f>
        <v>Sat</v>
      </c>
      <c r="C46" s="29" t="str">
        <f>DAY(AL46)&amp;" "&amp;INDEX(T,6+MONTH(AL46),lang)&amp;" 2011"</f>
        <v>19 Mar 2011</v>
      </c>
      <c r="D46" s="32">
        <f t="shared" si="11"/>
        <v>0.3333333333333333</v>
      </c>
      <c r="E46" s="30" t="str">
        <f>INDEX(T,33,lang)</f>
        <v>Bangladesh</v>
      </c>
      <c r="F46" s="55"/>
      <c r="G46" s="55"/>
      <c r="H46" s="55"/>
      <c r="I46" s="66" t="s">
        <v>123</v>
      </c>
      <c r="J46" s="55"/>
      <c r="K46" s="55"/>
      <c r="L46" s="55"/>
      <c r="M46" s="31" t="str">
        <f>INDEX(T,38,lang)</f>
        <v>South Africa</v>
      </c>
      <c r="N46" s="31">
        <f>IF(AM46="","",IF(AM46=0,INDEX(T,53,lang),IF(AM46&gt;0,E46,M46)&amp;" "&amp;INDEX(T,52,lang)&amp;" "&amp;IF(I46="--&gt;",IF(AM46&lt;0,-AM46&amp;" "&amp;LOWER(INDEX(T,40,lang)),(10-G46)&amp;" "&amp;LOWER(INDEX(T,70,lang))),IF(AM46&gt;0,AM46&amp;" "&amp;LOWER(INDEX(T,40,lang)),(10-K46)&amp;" "&amp;LOWER(INDEX(T,70,lang))))))</f>
      </c>
      <c r="O46" s="31" t="str">
        <f>INDEX(T,61,lang)</f>
        <v>Dhaka</v>
      </c>
      <c r="Q46" s="57"/>
      <c r="R46" s="57"/>
      <c r="S46" s="57"/>
      <c r="T46" s="57"/>
      <c r="U46" s="57"/>
      <c r="V46" s="57"/>
      <c r="W46" s="57"/>
      <c r="AB46" s="49" t="str">
        <f>IF(OR(AM60="",AM60=0),INDEX(T,51,lang)&amp;" 48",IF(AM60&lt;0,M60,IF(AM60&gt;0,E60,)))</f>
        <v>Winner of Match 48</v>
      </c>
      <c r="AK46" s="48">
        <v>40620.70833333333</v>
      </c>
      <c r="AL46" s="48">
        <f t="shared" si="5"/>
        <v>40621.33333333333</v>
      </c>
      <c r="AM46" s="48">
        <f t="shared" si="6"/>
      </c>
      <c r="AN46" s="52">
        <f t="shared" si="7"/>
      </c>
      <c r="AO46" s="52">
        <f t="shared" si="8"/>
      </c>
      <c r="AP46" s="48">
        <f t="shared" si="9"/>
      </c>
      <c r="AQ46" s="48">
        <f t="shared" si="10"/>
      </c>
      <c r="AR46" s="48">
        <f t="shared" si="15"/>
      </c>
      <c r="AT46" s="49" t="s">
        <v>26</v>
      </c>
    </row>
    <row r="47" spans="1:46" ht="11.25">
      <c r="A47" s="28">
        <v>41</v>
      </c>
      <c r="B47" s="28" t="str">
        <f>INDEX(T,18+WEEKDAY(AL47,1),lang)</f>
        <v>Sun</v>
      </c>
      <c r="C47" s="29" t="str">
        <f>DAY(AL47)&amp;" "&amp;INDEX(T,6+MONTH(AL47),lang)&amp;" 2011"</f>
        <v>20 Mar 2011</v>
      </c>
      <c r="D47" s="32">
        <f t="shared" si="11"/>
        <v>0.3333333333333333</v>
      </c>
      <c r="E47" s="30" t="str">
        <f>INDEX(T,32,lang)</f>
        <v>Zimbabwe</v>
      </c>
      <c r="F47" s="55"/>
      <c r="G47" s="55"/>
      <c r="H47" s="55"/>
      <c r="I47" s="61" t="s">
        <v>123</v>
      </c>
      <c r="J47" s="55"/>
      <c r="K47" s="55"/>
      <c r="L47" s="55"/>
      <c r="M47" s="31" t="str">
        <f>INDEX(T,28,lang)</f>
        <v>Kenya</v>
      </c>
      <c r="N47" s="31">
        <f>IF(AM47="","",IF(AM47=0,INDEX(T,53,lang),IF(AM47&gt;0,E47,M47)&amp;" "&amp;INDEX(T,52,lang)&amp;" "&amp;IF(I47="--&gt;",IF(AM47&lt;0,-AM47&amp;" "&amp;LOWER(INDEX(T,40,lang)),(10-G47)&amp;" "&amp;LOWER(INDEX(T,70,lang))),IF(AM47&gt;0,AM47&amp;" "&amp;LOWER(INDEX(T,40,lang)),(10-K47)&amp;" "&amp;LOWER(INDEX(T,70,lang))))))</f>
      </c>
      <c r="O47" s="31" t="str">
        <f>INDEX(T,64,lang)</f>
        <v>Kolkata</v>
      </c>
      <c r="Q47" s="57"/>
      <c r="R47" s="57"/>
      <c r="S47" s="57"/>
      <c r="T47" s="57"/>
      <c r="U47" s="57"/>
      <c r="V47" s="57"/>
      <c r="W47" s="57"/>
      <c r="AK47" s="48">
        <v>40621.70833333333</v>
      </c>
      <c r="AL47" s="48">
        <f t="shared" si="5"/>
        <v>40622.33333333333</v>
      </c>
      <c r="AM47" s="48">
        <f t="shared" si="6"/>
      </c>
      <c r="AN47" s="52">
        <f t="shared" si="7"/>
      </c>
      <c r="AO47" s="52">
        <f t="shared" si="8"/>
      </c>
      <c r="AP47" s="48">
        <f t="shared" si="9"/>
      </c>
      <c r="AQ47" s="48">
        <f t="shared" si="10"/>
      </c>
      <c r="AR47" s="48">
        <f t="shared" si="15"/>
      </c>
      <c r="AT47" s="49" t="s">
        <v>18</v>
      </c>
    </row>
    <row r="48" spans="1:46" ht="11.25">
      <c r="A48" s="28">
        <v>42</v>
      </c>
      <c r="B48" s="28" t="str">
        <f>INDEX(T,18+WEEKDAY(AL48,1),lang)</f>
        <v>Sun</v>
      </c>
      <c r="C48" s="29" t="str">
        <f>DAY(AL48)&amp;" "&amp;INDEX(T,6+MONTH(AL48),lang)&amp;" 2011"</f>
        <v>20 Mar 2011</v>
      </c>
      <c r="D48" s="32">
        <f t="shared" si="11"/>
        <v>0.5208333333333334</v>
      </c>
      <c r="E48" s="30" t="str">
        <f>INDEX(T,35,lang)</f>
        <v>India</v>
      </c>
      <c r="F48" s="55"/>
      <c r="G48" s="55"/>
      <c r="H48" s="55"/>
      <c r="I48" s="61" t="s">
        <v>123</v>
      </c>
      <c r="J48" s="55"/>
      <c r="K48" s="55"/>
      <c r="L48" s="55"/>
      <c r="M48" s="31" t="str">
        <f>INDEX(T,39,lang)</f>
        <v>West Indies</v>
      </c>
      <c r="N48" s="31">
        <f>IF(AM48="","",IF(AM48=0,INDEX(T,53,lang),IF(AM48&gt;0,E48,M48)&amp;" "&amp;INDEX(T,52,lang)&amp;" "&amp;IF(I48="--&gt;",IF(AM48&lt;0,-AM48&amp;" "&amp;LOWER(INDEX(T,40,lang)),(10-G48)&amp;" "&amp;LOWER(INDEX(T,70,lang))),IF(AM48&gt;0,AM48&amp;" "&amp;LOWER(INDEX(T,40,lang)),(10-K48)&amp;" "&amp;LOWER(INDEX(T,70,lang))))))</f>
      </c>
      <c r="O48" s="31" t="str">
        <f>INDEX(T,57,lang)</f>
        <v>Chennai</v>
      </c>
      <c r="Q48" s="57"/>
      <c r="R48" s="28"/>
      <c r="S48" s="28"/>
      <c r="T48" s="28"/>
      <c r="U48" s="28"/>
      <c r="V48" s="28"/>
      <c r="W48" s="28"/>
      <c r="AK48" s="48">
        <v>40621.89583333333</v>
      </c>
      <c r="AL48" s="48">
        <f t="shared" si="5"/>
        <v>40622.52083333333</v>
      </c>
      <c r="AM48" s="48">
        <f t="shared" si="6"/>
      </c>
      <c r="AN48" s="52">
        <f t="shared" si="7"/>
      </c>
      <c r="AO48" s="52">
        <f t="shared" si="8"/>
      </c>
      <c r="AP48" s="48">
        <f t="shared" si="9"/>
      </c>
      <c r="AQ48" s="48">
        <f t="shared" si="10"/>
      </c>
      <c r="AR48" s="48">
        <f t="shared" si="15"/>
      </c>
      <c r="AT48" s="49" t="s">
        <v>9</v>
      </c>
    </row>
    <row r="49" spans="2:28" ht="11.25">
      <c r="B49" s="5"/>
      <c r="C49" s="5"/>
      <c r="D49" s="6"/>
      <c r="Q49" s="57"/>
      <c r="R49" s="28"/>
      <c r="S49" s="28"/>
      <c r="T49" s="28"/>
      <c r="U49" s="28"/>
      <c r="V49" s="28"/>
      <c r="W49" s="28"/>
      <c r="AB49" s="53">
        <f>IF(OR(AM64="",AM64=0),"",IF(AM64&lt;0,M64,IF(AM64&gt;0,E64,)))</f>
      </c>
    </row>
    <row r="50" spans="1:23" ht="18.75">
      <c r="A50" s="73" t="str">
        <f>INDEX(T,4,lang)</f>
        <v>Quarter-Finals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5"/>
      <c r="Q50" s="57"/>
      <c r="R50" s="28"/>
      <c r="S50" s="28"/>
      <c r="T50" s="28"/>
      <c r="U50" s="28"/>
      <c r="V50" s="28"/>
      <c r="W50" s="28"/>
    </row>
    <row r="51" spans="5:12" ht="11.25" customHeight="1">
      <c r="E51" s="1"/>
      <c r="F51" s="28" t="str">
        <f>INDEX(T,40,lang)</f>
        <v>Runs</v>
      </c>
      <c r="G51" s="28" t="str">
        <f>INDEX(T,70,lang)</f>
        <v>Wickets</v>
      </c>
      <c r="H51" s="28" t="str">
        <f>INDEX(T,41,lang)</f>
        <v>Overs</v>
      </c>
      <c r="I51" s="28" t="str">
        <f>INDEX(T,69,lang)</f>
        <v>Innings</v>
      </c>
      <c r="J51" s="28" t="str">
        <f>INDEX(T,40,lang)</f>
        <v>Runs</v>
      </c>
      <c r="K51" s="28" t="str">
        <f>INDEX(T,70,lang)</f>
        <v>Wickets</v>
      </c>
      <c r="L51" s="28" t="str">
        <f>INDEX(T,41,lang)</f>
        <v>Overs</v>
      </c>
    </row>
    <row r="52" spans="1:46" ht="11.25">
      <c r="A52" s="28">
        <v>43</v>
      </c>
      <c r="B52" s="28" t="str">
        <f>INDEX(T,18+WEEKDAY(AL52,1),lang)</f>
        <v>Wed</v>
      </c>
      <c r="C52" s="29" t="str">
        <f>DAY(AL52)&amp;" "&amp;INDEX(T,6+MONTH(AL52),lang)&amp;" 2011"</f>
        <v>23 Mar 2011</v>
      </c>
      <c r="D52" s="32">
        <f>TIME(HOUR(AL52),MINUTE(AL52),0)</f>
        <v>0.5208333333333334</v>
      </c>
      <c r="E52" s="30" t="str">
        <f>AB27</f>
        <v>Group A1</v>
      </c>
      <c r="F52" s="55"/>
      <c r="G52" s="55"/>
      <c r="H52" s="55"/>
      <c r="I52" s="61" t="s">
        <v>123</v>
      </c>
      <c r="J52" s="55"/>
      <c r="K52" s="55"/>
      <c r="L52" s="55"/>
      <c r="M52" s="31" t="str">
        <f>AB35</f>
        <v>Group B4</v>
      </c>
      <c r="N52" s="31">
        <f>IF(AM52="","",IF(AM52=0,INDEX(T,53,lang),IF(AM52&gt;0,E52,M52)&amp;" "&amp;INDEX(T,52,lang)&amp;" "&amp;IF(I52="--&gt;",IF(AM52&lt;0,-AM52&amp;" "&amp;LOWER(INDEX(T,40,lang)),(10-G52)&amp;" "&amp;LOWER(INDEX(T,70,lang))),IF(AM52&gt;0,AM52&amp;" "&amp;LOWER(INDEX(T,40,lang)),(10-K52)&amp;" "&amp;LOWER(INDEX(T,70,lang))))))</f>
      </c>
      <c r="O52" s="31" t="str">
        <f>INDEX(T,61,lang)</f>
        <v>Dhaka</v>
      </c>
      <c r="AK52" s="48">
        <v>40624.89583333333</v>
      </c>
      <c r="AL52" s="48">
        <f>AK52+gmt_delta</f>
        <v>40625.52083333333</v>
      </c>
      <c r="AM52" s="54">
        <f>IF(OR(F52=0,H52=0,J52=0,L52=0,),IF(F52+H52+J52+L52&gt;0,0,""),F52-J52)</f>
      </c>
      <c r="AT52" s="49" t="s">
        <v>26</v>
      </c>
    </row>
    <row r="53" spans="1:46" ht="11.25">
      <c r="A53" s="28">
        <v>44</v>
      </c>
      <c r="B53" s="28" t="str">
        <f>INDEX(T,18+WEEKDAY(AL53,1),lang)</f>
        <v>Thu</v>
      </c>
      <c r="C53" s="29" t="str">
        <f>DAY(AL53)&amp;" "&amp;INDEX(T,6+MONTH(AL53),lang)&amp;" 2011"</f>
        <v>24 Mar 2011</v>
      </c>
      <c r="D53" s="32">
        <f>TIME(HOUR(AL53),MINUTE(AL53),0)</f>
        <v>0.5208333333333334</v>
      </c>
      <c r="E53" s="30" t="str">
        <f>AB28</f>
        <v>Group A2</v>
      </c>
      <c r="F53" s="55"/>
      <c r="G53" s="55"/>
      <c r="H53" s="55"/>
      <c r="I53" s="61" t="s">
        <v>123</v>
      </c>
      <c r="J53" s="55"/>
      <c r="K53" s="55"/>
      <c r="L53" s="55"/>
      <c r="M53" s="31" t="str">
        <f>AB34</f>
        <v>Group B3</v>
      </c>
      <c r="N53" s="31">
        <f>IF(AM53="","",IF(AM53=0,INDEX(T,53,lang),IF(AM53&gt;0,E53,M53)&amp;" "&amp;INDEX(T,52,lang)&amp;" "&amp;IF(I53="--&gt;",IF(AM53&lt;0,-AM53&amp;" "&amp;LOWER(INDEX(T,40,lang)),(10-G53)&amp;" "&amp;LOWER(INDEX(T,70,lang))),IF(AM53&gt;0,AM53&amp;" "&amp;LOWER(INDEX(T,40,lang)),(10-K53)&amp;" "&amp;LOWER(INDEX(T,70,lang))))))</f>
      </c>
      <c r="O53" s="31" t="str">
        <f>INDEX(T,59,lang)</f>
        <v>Colombo</v>
      </c>
      <c r="AK53" s="48">
        <v>40625.89583333333</v>
      </c>
      <c r="AL53" s="48">
        <f>AK53+gmt_delta</f>
        <v>40626.52083333333</v>
      </c>
      <c r="AM53" s="54">
        <f>IF(OR(F53=0,H53=0,J53=0,L53=0,),IF(F53+H53+J53+L53&gt;0,0,""),F53-J53)</f>
      </c>
      <c r="AT53" s="49" t="s">
        <v>13</v>
      </c>
    </row>
    <row r="54" spans="1:46" ht="11.25">
      <c r="A54" s="28">
        <v>45</v>
      </c>
      <c r="B54" s="28" t="str">
        <f>INDEX(T,18+WEEKDAY(AL54,1),lang)</f>
        <v>Fri</v>
      </c>
      <c r="C54" s="29" t="str">
        <f>DAY(AL54)&amp;" "&amp;INDEX(T,6+MONTH(AL54),lang)&amp;" 2011"</f>
        <v>25 Mar 2011</v>
      </c>
      <c r="D54" s="32">
        <f>TIME(HOUR(AL54),MINUTE(AL54),0)</f>
        <v>0.5208333333333334</v>
      </c>
      <c r="E54" s="30" t="str">
        <f>AB29</f>
        <v>Group A3</v>
      </c>
      <c r="F54" s="55"/>
      <c r="G54" s="55"/>
      <c r="H54" s="55"/>
      <c r="I54" s="61" t="s">
        <v>123</v>
      </c>
      <c r="J54" s="55"/>
      <c r="K54" s="55"/>
      <c r="L54" s="55"/>
      <c r="M54" s="31" t="str">
        <f>AB33</f>
        <v>Group B2</v>
      </c>
      <c r="N54" s="31">
        <f>IF(AM54="","",IF(AM54=0,INDEX(T,53,lang),IF(AM54&gt;0,E54,M54)&amp;" "&amp;INDEX(T,52,lang)&amp;" "&amp;IF(I54="--&gt;",IF(AM54&lt;0,-AM54&amp;" "&amp;LOWER(INDEX(T,40,lang)),(10-G54)&amp;" "&amp;LOWER(INDEX(T,70,lang))),IF(AM54&gt;0,AM54&amp;" "&amp;LOWER(INDEX(T,40,lang)),(10-K54)&amp;" "&amp;LOWER(INDEX(T,70,lang))))))</f>
      </c>
      <c r="O54" s="31" t="str">
        <f>INDEX(T,61,lang)</f>
        <v>Dhaka</v>
      </c>
      <c r="AK54" s="48">
        <v>40626.89583333333</v>
      </c>
      <c r="AL54" s="48">
        <f>AK54+gmt_delta</f>
        <v>40627.52083333333</v>
      </c>
      <c r="AM54" s="54">
        <f>IF(OR(F54=0,H54=0,J54=0,L54=0,),IF(F54+H54+J54+L54&gt;0,0,""),F54-J54)</f>
      </c>
      <c r="AT54" s="49" t="s">
        <v>26</v>
      </c>
    </row>
    <row r="55" spans="1:46" ht="11.25">
      <c r="A55" s="28">
        <v>46</v>
      </c>
      <c r="B55" s="28" t="str">
        <f>INDEX(T,18+WEEKDAY(AL55,1),lang)</f>
        <v>Sat</v>
      </c>
      <c r="C55" s="29" t="str">
        <f>DAY(AL55)&amp;" "&amp;INDEX(T,6+MONTH(AL55),lang)&amp;" 2011"</f>
        <v>26 Mar 2011</v>
      </c>
      <c r="D55" s="32">
        <f>TIME(HOUR(AL55),MINUTE(AL55),0)</f>
        <v>0.5208333333333334</v>
      </c>
      <c r="E55" s="30" t="str">
        <f>AB30</f>
        <v>Group A4</v>
      </c>
      <c r="F55" s="55"/>
      <c r="G55" s="55"/>
      <c r="H55" s="55"/>
      <c r="I55" s="61" t="s">
        <v>123</v>
      </c>
      <c r="J55" s="55"/>
      <c r="K55" s="55"/>
      <c r="L55" s="55"/>
      <c r="M55" s="31" t="str">
        <f>AB32</f>
        <v>Group B1</v>
      </c>
      <c r="N55" s="31">
        <f>IF(AM55="","",IF(AM55=0,INDEX(T,53,lang),IF(AM55&gt;0,E55,M55)&amp;" "&amp;INDEX(T,52,lang)&amp;" "&amp;IF(I55="--&gt;",IF(AM55&lt;0,-AM55&amp;" "&amp;LOWER(INDEX(T,40,lang)),(10-G55)&amp;" "&amp;LOWER(INDEX(T,70,lang))),IF(AM55&gt;0,AM55&amp;" "&amp;LOWER(INDEX(T,40,lang)),(10-K55)&amp;" "&amp;LOWER(INDEX(T,70,lang))))))</f>
      </c>
      <c r="O55" s="31" t="str">
        <f>INDEX(T,54,lang)</f>
        <v>Ahmedabad</v>
      </c>
      <c r="AK55" s="48">
        <v>40627.89583333333</v>
      </c>
      <c r="AL55" s="48">
        <f>AK55+gmt_delta</f>
        <v>40628.52083333333</v>
      </c>
      <c r="AM55" s="54">
        <f>IF(OR(F55=0,H55=0,J55=0,L55=0,),IF(F55+H55+J55+L55&gt;0,0,""),F55-J55)</f>
      </c>
      <c r="AT55" s="49" t="s">
        <v>11</v>
      </c>
    </row>
    <row r="57" spans="1:15" ht="18.75">
      <c r="A57" s="73" t="str">
        <f>INDEX(T,5,lang)</f>
        <v>Semi-Finals</v>
      </c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5"/>
    </row>
    <row r="58" spans="5:12" ht="11.25" customHeight="1">
      <c r="E58" s="1"/>
      <c r="F58" s="28" t="str">
        <f>INDEX(T,40,lang)</f>
        <v>Runs</v>
      </c>
      <c r="G58" s="28" t="str">
        <f>INDEX(T,70,lang)</f>
        <v>Wickets</v>
      </c>
      <c r="H58" s="28" t="str">
        <f>INDEX(T,41,lang)</f>
        <v>Overs</v>
      </c>
      <c r="I58" s="28" t="str">
        <f>INDEX(T,69,lang)</f>
        <v>Innings</v>
      </c>
      <c r="J58" s="28" t="str">
        <f>INDEX(T,40,lang)</f>
        <v>Runs</v>
      </c>
      <c r="K58" s="28" t="str">
        <f>INDEX(T,70,lang)</f>
        <v>Wickets</v>
      </c>
      <c r="L58" s="28" t="str">
        <f>INDEX(T,41,lang)</f>
        <v>Overs</v>
      </c>
    </row>
    <row r="59" spans="1:46" ht="11.25">
      <c r="A59" s="28">
        <v>47</v>
      </c>
      <c r="B59" s="28" t="str">
        <f>INDEX(T,18+WEEKDAY(AL59,1),lang)</f>
        <v>Tue</v>
      </c>
      <c r="C59" s="29" t="str">
        <f>DAY(AL59)&amp;" "&amp;INDEX(T,6+MONTH(AL59),lang)&amp;" 2011"</f>
        <v>29 Mar 2011</v>
      </c>
      <c r="D59" s="32">
        <f>TIME(HOUR(AL59),MINUTE(AL59),0)</f>
        <v>0.5208333333333334</v>
      </c>
      <c r="E59" s="30" t="str">
        <f>AB39</f>
        <v>Winner of Match 43</v>
      </c>
      <c r="F59" s="55"/>
      <c r="G59" s="55"/>
      <c r="H59" s="55"/>
      <c r="I59" s="61" t="s">
        <v>123</v>
      </c>
      <c r="J59" s="55"/>
      <c r="K59" s="55"/>
      <c r="L59" s="55"/>
      <c r="M59" s="31" t="str">
        <f>AB41</f>
        <v>Winner of Match 45</v>
      </c>
      <c r="N59" s="31">
        <f>IF(AM59="","",IF(AM59=0,INDEX(T,53,lang),IF(AM59&gt;0,E59,M59)&amp;" "&amp;INDEX(T,52,lang)&amp;" "&amp;IF(I59="--&gt;",IF(AM59&lt;0,-AM59&amp;" "&amp;LOWER(INDEX(T,40,lang)),(10-G59)&amp;" "&amp;LOWER(INDEX(T,70,lang))),IF(AM59&gt;0,AM59&amp;" "&amp;LOWER(INDEX(T,40,lang)),(10-K59)&amp;" "&amp;LOWER(INDEX(T,70,lang))))))</f>
      </c>
      <c r="O59" s="31" t="str">
        <f>INDEX(T,59,lang)</f>
        <v>Colombo</v>
      </c>
      <c r="AK59" s="48">
        <v>40630.89583333333</v>
      </c>
      <c r="AL59" s="48">
        <f>AK59+gmt_delta</f>
        <v>40631.52083333333</v>
      </c>
      <c r="AM59" s="54">
        <f>IF(OR(F59=0,H59=0,J59=0,L59=0,),IF(F59+H59+J59+L59&gt;0,0,""),F59-J59)</f>
      </c>
      <c r="AT59" s="49" t="s">
        <v>13</v>
      </c>
    </row>
    <row r="60" spans="1:46" ht="11.25">
      <c r="A60" s="28">
        <v>48</v>
      </c>
      <c r="B60" s="28" t="str">
        <f>INDEX(T,18+WEEKDAY(AL60,1),lang)</f>
        <v>Wed</v>
      </c>
      <c r="C60" s="29" t="str">
        <f>DAY(AL60)&amp;" "&amp;INDEX(T,6+MONTH(AL60),lang)&amp;" 2011"</f>
        <v>30 Mar 2011</v>
      </c>
      <c r="D60" s="32">
        <f>TIME(HOUR(AL60),MINUTE(AL60),0)</f>
        <v>0.5208333333333334</v>
      </c>
      <c r="E60" s="30" t="str">
        <f>AB40</f>
        <v>Winner of Match 44</v>
      </c>
      <c r="F60" s="55"/>
      <c r="G60" s="55"/>
      <c r="H60" s="55"/>
      <c r="I60" s="61" t="s">
        <v>123</v>
      </c>
      <c r="J60" s="55"/>
      <c r="K60" s="55"/>
      <c r="L60" s="55"/>
      <c r="M60" s="31" t="str">
        <f>AB42</f>
        <v>Winner of Match 46</v>
      </c>
      <c r="N60" s="31">
        <f>IF(AM60="","",IF(AM60=0,INDEX(T,53,lang),IF(AM60&gt;0,E60,M60)&amp;" "&amp;INDEX(T,52,lang)&amp;" "&amp;IF(I60="--&gt;",IF(AM60&lt;0,-AM60&amp;" "&amp;LOWER(INDEX(T,40,lang)),(10-G60)&amp;" "&amp;LOWER(INDEX(T,70,lang))),IF(AM60&gt;0,AM60&amp;" "&amp;LOWER(INDEX(T,40,lang)),(10-K60)&amp;" "&amp;LOWER(INDEX(T,70,lang))))))</f>
      </c>
      <c r="O60" s="31" t="str">
        <f>INDEX(T,65,lang)</f>
        <v>Mohali</v>
      </c>
      <c r="AK60" s="48">
        <v>40631.89583333333</v>
      </c>
      <c r="AL60" s="48">
        <f>AK60+gmt_delta</f>
        <v>40632.52083333333</v>
      </c>
      <c r="AM60" s="54">
        <f>IF(OR(F60=0,H60=0,J60=0,L60=0,),IF(F60+H60+J60+L60&gt;0,0,""),F60-J60)</f>
      </c>
      <c r="AT60" s="49" t="s">
        <v>29</v>
      </c>
    </row>
    <row r="62" spans="1:15" ht="18.75">
      <c r="A62" s="73" t="str">
        <f>INDEX(T,6,lang)</f>
        <v>Final</v>
      </c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5"/>
    </row>
    <row r="63" spans="5:12" ht="11.25" customHeight="1">
      <c r="E63" s="1"/>
      <c r="F63" s="28" t="str">
        <f>INDEX(T,40,lang)</f>
        <v>Runs</v>
      </c>
      <c r="G63" s="28" t="str">
        <f>INDEX(T,70,lang)</f>
        <v>Wickets</v>
      </c>
      <c r="H63" s="28" t="str">
        <f>INDEX(T,41,lang)</f>
        <v>Overs</v>
      </c>
      <c r="I63" s="28" t="str">
        <f>INDEX(T,69,lang)</f>
        <v>Innings</v>
      </c>
      <c r="J63" s="28" t="str">
        <f>INDEX(T,40,lang)</f>
        <v>Runs</v>
      </c>
      <c r="K63" s="28" t="str">
        <f>INDEX(T,70,lang)</f>
        <v>Wickets</v>
      </c>
      <c r="L63" s="28" t="str">
        <f>INDEX(T,41,lang)</f>
        <v>Overs</v>
      </c>
    </row>
    <row r="64" spans="1:46" ht="11.25">
      <c r="A64" s="28">
        <v>49</v>
      </c>
      <c r="B64" s="28" t="str">
        <f>INDEX(T,18+WEEKDAY(AL64,1),lang)</f>
        <v>Sat</v>
      </c>
      <c r="C64" s="29" t="str">
        <f>DAY(AL64)&amp;" "&amp;INDEX(T,6+MONTH(AL64),lang)&amp;" 2011"</f>
        <v>2 Apr 2011</v>
      </c>
      <c r="D64" s="32">
        <f>TIME(HOUR(AL64),MINUTE(AL64),0)</f>
        <v>0.5208333333333334</v>
      </c>
      <c r="E64" s="30" t="str">
        <f>AB45</f>
        <v>Winner of Match 47</v>
      </c>
      <c r="F64" s="55"/>
      <c r="G64" s="55"/>
      <c r="H64" s="55"/>
      <c r="I64" s="61" t="s">
        <v>123</v>
      </c>
      <c r="J64" s="55"/>
      <c r="K64" s="55"/>
      <c r="L64" s="55"/>
      <c r="M64" s="31" t="str">
        <f>AB46</f>
        <v>Winner of Match 48</v>
      </c>
      <c r="N64" s="31">
        <f>IF(AM64="","",IF(AM64=0,INDEX(T,53,lang),IF(AM64&gt;0,E64,M64)&amp;" "&amp;INDEX(T,52,lang)&amp;" "&amp;IF(I64="--&gt;",IF(AM64&lt;0,-AM64&amp;" "&amp;LOWER(INDEX(T,40,lang)),(10-G64)&amp;" "&amp;LOWER(INDEX(T,70,lang))),IF(AM64&gt;0,AM64&amp;" "&amp;LOWER(INDEX(T,40,lang)),(10-K64)&amp;" "&amp;LOWER(INDEX(T,70,lang))))))</f>
      </c>
      <c r="O64" s="31" t="str">
        <f>INDEX(T,66,lang)</f>
        <v>Mumbai</v>
      </c>
      <c r="AK64" s="48">
        <v>40634.89583333333</v>
      </c>
      <c r="AL64" s="48">
        <f>AK64+gmt_delta</f>
        <v>40635.52083333333</v>
      </c>
      <c r="AM64" s="54">
        <f>IF(OR(F64=0,H64=0,J64=0,L64=0,),IF(F64+H64+J64+L64&gt;0,0,""),F64-J64)</f>
      </c>
      <c r="AT64" s="49" t="s">
        <v>16</v>
      </c>
    </row>
    <row r="66" spans="5:13" ht="11.25">
      <c r="E66" s="72"/>
      <c r="F66" s="72"/>
      <c r="G66" s="72"/>
      <c r="H66" s="72"/>
      <c r="I66" s="72"/>
      <c r="J66" s="72"/>
      <c r="K66" s="72"/>
      <c r="L66" s="72"/>
      <c r="M66" s="72"/>
    </row>
    <row r="67" spans="5:13" ht="11.25">
      <c r="E67" s="72"/>
      <c r="F67" s="72"/>
      <c r="G67" s="72"/>
      <c r="H67" s="72"/>
      <c r="I67" s="72"/>
      <c r="J67" s="72"/>
      <c r="K67" s="72"/>
      <c r="L67" s="72"/>
      <c r="M67" s="72"/>
    </row>
    <row r="69" spans="1:15" ht="11.25">
      <c r="A69" s="62"/>
      <c r="B69" s="62"/>
      <c r="C69" s="62"/>
      <c r="D69" s="62"/>
      <c r="E69" s="63"/>
      <c r="F69" s="62"/>
      <c r="G69" s="62"/>
      <c r="H69" s="62"/>
      <c r="I69" s="62"/>
      <c r="J69" s="62"/>
      <c r="K69" s="62"/>
      <c r="L69" s="62"/>
      <c r="M69" s="64"/>
      <c r="N69" s="64"/>
      <c r="O69" s="64"/>
    </row>
  </sheetData>
  <sheetProtection password="85D6" sheet="1"/>
  <mergeCells count="13">
    <mergeCell ref="A1:O1"/>
    <mergeCell ref="E66:M67"/>
    <mergeCell ref="A5:O5"/>
    <mergeCell ref="A50:O50"/>
    <mergeCell ref="A57:O57"/>
    <mergeCell ref="A62:O62"/>
    <mergeCell ref="Q26:X32"/>
    <mergeCell ref="Q34:X34"/>
    <mergeCell ref="Q36:X36"/>
    <mergeCell ref="T3:X3"/>
    <mergeCell ref="J3:O3"/>
    <mergeCell ref="B3:H3"/>
    <mergeCell ref="Q5:X5"/>
  </mergeCells>
  <conditionalFormatting sqref="E7:E48 E52:E55 E59:E60 E64">
    <cfRule type="expression" priority="6" dxfId="8" stopIfTrue="1">
      <formula>IF(AND($AM7=0,$AM7&lt;&gt;""),1,0)</formula>
    </cfRule>
    <cfRule type="expression" priority="7" dxfId="9" stopIfTrue="1">
      <formula>IF(AND($AM7&lt;0,$AM7&lt;&gt;""),1,0)</formula>
    </cfRule>
    <cfRule type="expression" priority="8" dxfId="10" stopIfTrue="1">
      <formula>IF(AND($AM7&gt;0,$AM7&lt;&gt;""),1,0)</formula>
    </cfRule>
  </conditionalFormatting>
  <conditionalFormatting sqref="M7:M48 M52:M55 M59:M60 M64">
    <cfRule type="expression" priority="3" dxfId="8" stopIfTrue="1">
      <formula>IF(AND($AM7=0,$AM7&lt;&gt;""),1,0)</formula>
    </cfRule>
    <cfRule type="expression" priority="4" dxfId="9" stopIfTrue="1">
      <formula>IF(AND($AM7&gt;0,$AM7&lt;&gt;""),1,0)</formula>
    </cfRule>
    <cfRule type="expression" priority="5" dxfId="10" stopIfTrue="1">
      <formula>IF(AND($AM7&lt;0,$AM7&lt;&gt;""),1,0)</formula>
    </cfRule>
  </conditionalFormatting>
  <conditionalFormatting sqref="Q8:X11">
    <cfRule type="expression" priority="2" dxfId="0" stopIfTrue="1">
      <formula>IF(SUM($R$8:$R$14)=42,1,0)</formula>
    </cfRule>
  </conditionalFormatting>
  <conditionalFormatting sqref="Q18:X21">
    <cfRule type="expression" priority="1" dxfId="0" stopIfTrue="1">
      <formula>IF(SUM($R$18:$R$24)=42,1,0)</formula>
    </cfRule>
  </conditionalFormatting>
  <dataValidations count="2">
    <dataValidation type="whole" allowBlank="1" showInputMessage="1" showErrorMessage="1" sqref="G7:G48 K7:K48 G59:G60 G52:G55 G64 K52:K55 K59:K60 K64">
      <formula1>0</formula1>
      <formula2>10</formula2>
    </dataValidation>
    <dataValidation type="list" showInputMessage="1" showErrorMessage="1" sqref="I59:I60 I7:I48 I52:I55 I64">
      <formula1>"&lt;--,--&gt;"</formula1>
    </dataValidation>
  </dataValidations>
  <hyperlinks>
    <hyperlink ref="T3" location="Settings!C4" tooltip="Settings" display="Settings!C4"/>
    <hyperlink ref="T3:X3" location="Settings!C4" tooltip="Settings" display="Language: English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</dc:creator>
  <cp:keywords/>
  <dc:description/>
  <cp:lastModifiedBy>mohd.ateeque</cp:lastModifiedBy>
  <cp:lastPrinted>2011-01-14T14:38:46Z</cp:lastPrinted>
  <dcterms:created xsi:type="dcterms:W3CDTF">2010-12-20T21:23:30Z</dcterms:created>
  <dcterms:modified xsi:type="dcterms:W3CDTF">2011-01-24T10:42:23Z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